
<file path=[Content_Types].xml><?xml version="1.0" encoding="utf-8"?>
<Types xmlns="http://schemas.openxmlformats.org/package/2006/content-types">
  <Default Extension="bin" ContentType="application/vnd.openxmlformats-officedocument.spreadsheetml.printerSettings"/>
  <Default Extension="jp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xl/webextensions/taskpanes.xml" ContentType="application/vnd.ms-office.webextensiontaskpanes+xml"/>
  <Override PartName="/xl/webextensions/webextension1.xml" ContentType="application/vnd.ms-office.webextension+xml"/>
  <Override PartName="/xl/webextensions/webextension2.xml" ContentType="application/vnd.ms-office.webextension+xml"/>
  <Override PartName="/docProps/core.xml" ContentType="application/vnd.openxmlformats-package.core-properties+xml"/>
  <Override PartName="/docProps/app.xml" ContentType="application/vnd.openxmlformats-officedocument.extended-properties+xml"/>
  <Override PartName="/xl/persons/person.xml" ContentType="application/vnd.ms-excel.person+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11/relationships/webextensiontaskpanes" Target="xl/webextensions/taskpanes.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codeName="ThisWorkbook" defaultThemeVersion="124226"/>
  <mc:AlternateContent xmlns:mc="http://schemas.openxmlformats.org/markup-compatibility/2006">
    <mc:Choice Requires="x15">
      <x15ac:absPath xmlns:x15ac="http://schemas.microsoft.com/office/spreadsheetml/2010/11/ac" url="C:\SRIanexos\Instalador\"/>
    </mc:Choice>
  </mc:AlternateContent>
  <xr:revisionPtr revIDLastSave="0" documentId="13_ncr:1_{31EEE980-FAB0-4CCD-83BE-DA3621166CA5}" xr6:coauthVersionLast="47" xr6:coauthVersionMax="47" xr10:uidLastSave="{00000000-0000-0000-0000-000000000000}"/>
  <bookViews>
    <workbookView xWindow="-110" yWindow="-110" windowWidth="19420" windowHeight="10420" tabRatio="601" firstSheet="5" activeTab="9" xr2:uid="{00000000-000D-0000-FFFF-FFFF00000000}"/>
  </bookViews>
  <sheets>
    <sheet name="Diario" sheetId="28" state="hidden" r:id="rId1"/>
    <sheet name="Tesoreria" sheetId="27" state="hidden" r:id="rId2"/>
    <sheet name="Detalles" sheetId="24" state="hidden" r:id="rId3"/>
    <sheet name="Articulos" sheetId="22" state="hidden" r:id="rId4"/>
    <sheet name="Contribuyentes" sheetId="23" state="hidden" r:id="rId5"/>
    <sheet name="Parametros" sheetId="1" r:id="rId6"/>
    <sheet name="LIQ_IMPUESTOS" sheetId="16" r:id="rId7"/>
    <sheet name="103" sheetId="5" r:id="rId8"/>
    <sheet name="104" sheetId="4" r:id="rId9"/>
    <sheet name="COMPRAS" sheetId="2" r:id="rId10"/>
    <sheet name="VENTAS" sheetId="6" r:id="rId11"/>
    <sheet name="REEMBOLSOS" sheetId="3" r:id="rId12"/>
    <sheet name="EXPORTACIONES" sheetId="7" r:id="rId13"/>
    <sheet name="ANULADOS" sheetId="8" r:id="rId14"/>
    <sheet name="GUIAS" sheetId="29" r:id="rId15"/>
    <sheet name="TALON" sheetId="21" r:id="rId16"/>
    <sheet name="GASTOSP" sheetId="30" r:id="rId17"/>
  </sheets>
  <definedNames>
    <definedName name="_xlnm._FilterDatabase" localSheetId="13" hidden="1">ANULADOS!$A$6:$J$6</definedName>
    <definedName name="_xlnm._FilterDatabase" localSheetId="3" hidden="1">Articulos!$A$6:$N$17</definedName>
    <definedName name="_xlnm._FilterDatabase" localSheetId="9" hidden="1">COMPRAS!$A$6:$EL$6</definedName>
    <definedName name="_xlnm._FilterDatabase" localSheetId="4" hidden="1">Contribuyentes!$A$6:$M$19</definedName>
    <definedName name="_xlnm._FilterDatabase" localSheetId="2" hidden="1">Detalles!$A$6:$AI$6</definedName>
    <definedName name="_xlnm._FilterDatabase" localSheetId="0" hidden="1">Diario!$A$6:$M$6</definedName>
    <definedName name="_xlnm._FilterDatabase" localSheetId="12" hidden="1">EXPORTACIONES!$A$6:$AR$6</definedName>
    <definedName name="_xlnm._FilterDatabase" localSheetId="16" hidden="1">GASTOSP!$A$6:$V$6</definedName>
    <definedName name="_xlnm._FilterDatabase" localSheetId="14" hidden="1">GUIAS!$A$6:$AC$6</definedName>
    <definedName name="_xlnm._FilterDatabase" localSheetId="11" hidden="1">REEMBOLSOS!$A$6:$AE$6</definedName>
    <definedName name="_xlnm._FilterDatabase" localSheetId="1" hidden="1">Tesoreria!$A$6:$Q$6</definedName>
    <definedName name="_xlnm._FilterDatabase" localSheetId="10" hidden="1">VENTAS!$A$6:$CV$6</definedName>
    <definedName name="_xlnm.Print_Area" localSheetId="7">'103'!$A:$AJ</definedName>
    <definedName name="_xlnm.Print_Area" localSheetId="8">'104'!$A:$AL</definedName>
    <definedName name="asiCOM">Parametros!$C$1146:$J$1172</definedName>
    <definedName name="cfgEmpresa">Parametros!$B$2:$L$121</definedName>
    <definedName name="ComprobantesCOM">Parametros!$C$190:$C$218</definedName>
    <definedName name="ComprobantesEXP">Parametros!$C$155:$C$162</definedName>
    <definedName name="ComprobantesVEN">Parametros!$C$166:$C$186</definedName>
    <definedName name="Distritos">Parametros!$C$1049:$C$1063</definedName>
    <definedName name="gruContableGAS">Parametros!$C$1146:$C$1172</definedName>
    <definedName name="gruContableING">Parametros!$C$1138:$C$1142</definedName>
    <definedName name="ingExterior">Parametros!$C$1067:$C$1106</definedName>
    <definedName name="IVAs">Parametros!$C$125:$C$134</definedName>
    <definedName name="LIQ_PER">LIQ_IMPUESTOS!$C$5:$C$16</definedName>
    <definedName name="ListaActividades">Parametros!$C$138:$C$150</definedName>
    <definedName name="meses_103">'103'!$C$5:$N$5</definedName>
    <definedName name="meses_104">'104'!$C$4:$N$4</definedName>
    <definedName name="NumDocs">Parametros!$C$52:$J$62</definedName>
    <definedName name="pagos">Parametros!$C$243:$C$264</definedName>
    <definedName name="paises">Parametros!$C$411:$C$670</definedName>
    <definedName name="paises17a">Parametros!$C$674:$C$763</definedName>
    <definedName name="paises17b">Parametros!$G$674:$G$763</definedName>
    <definedName name="paisesEXP">Parametros!$C$767:$C$1025</definedName>
    <definedName name="Regimen">Parametros!$D$39</definedName>
    <definedName name="Regimenes">Parametros!$C$1029:$C$1038</definedName>
    <definedName name="Retenciones">Parametros!$C$268:$C$407</definedName>
    <definedName name="sustentos">Parametros!$C$222:$C$239</definedName>
    <definedName name="tarifasIVA">Parametros!$E$128:$E$133</definedName>
    <definedName name="tbIBPs">Parametros!$C$1125:$J$1126</definedName>
    <definedName name="tbIBPs2">Parametros!$D$1125:$D$1126</definedName>
    <definedName name="tbICEs">Parametros!$C$1110:$J$1121</definedName>
    <definedName name="tbICEs2">Parametros!$D$1110:$D$1121</definedName>
    <definedName name="tbl_Empre">Parametros!$N$5:$Q$10</definedName>
    <definedName name="tbl_NegPop">Parametros!$S$5:$U$9</definedName>
    <definedName name="TipoPagos">Parametros!$C$243:$J$264</definedName>
    <definedName name="tiposexp">Parametros!$C$1042:$C$1045</definedName>
    <definedName name="XLSperiodo">Parametros!$D$20</definedName>
    <definedName name="XLSversion">Parametros!$D$100</definedName>
  </definedNames>
  <calcPr calcId="181029"/>
</workbook>
</file>

<file path=xl/calcChain.xml><?xml version="1.0" encoding="utf-8"?>
<calcChain xmlns="http://schemas.openxmlformats.org/spreadsheetml/2006/main">
  <c r="B220" i="21" l="1"/>
  <c r="B219" i="21"/>
  <c r="B218" i="21"/>
  <c r="B217" i="21"/>
  <c r="B216" i="21"/>
  <c r="B215" i="21"/>
  <c r="B214" i="21"/>
  <c r="B213" i="21"/>
  <c r="B212" i="21"/>
  <c r="B211" i="21"/>
  <c r="B210" i="21"/>
  <c r="B209" i="21"/>
  <c r="B208" i="21"/>
  <c r="B207" i="21"/>
  <c r="B206" i="21"/>
  <c r="B205" i="21"/>
  <c r="B204" i="21"/>
  <c r="B203" i="21"/>
  <c r="B202" i="21"/>
  <c r="B201" i="21"/>
  <c r="B200" i="21"/>
  <c r="B199" i="21"/>
  <c r="B198" i="21"/>
  <c r="B197" i="21"/>
  <c r="B196" i="21"/>
  <c r="B195" i="21"/>
  <c r="B194" i="21"/>
  <c r="B193" i="21"/>
  <c r="B192" i="21"/>
  <c r="B191" i="21"/>
  <c r="B190" i="21"/>
  <c r="B189" i="21"/>
  <c r="B188" i="21"/>
  <c r="B187" i="21"/>
  <c r="B186" i="21"/>
  <c r="B185" i="21"/>
  <c r="B184" i="21"/>
  <c r="B183" i="21"/>
  <c r="B182" i="21"/>
  <c r="B181" i="21"/>
  <c r="B180" i="21"/>
  <c r="B179" i="21"/>
  <c r="B178" i="21"/>
  <c r="B177" i="21"/>
  <c r="B176" i="21"/>
  <c r="B175" i="21"/>
  <c r="B174" i="21"/>
  <c r="B173" i="21"/>
  <c r="B101" i="21"/>
  <c r="B172" i="21"/>
  <c r="B171" i="21"/>
  <c r="B170" i="21"/>
  <c r="B169" i="21"/>
  <c r="B168" i="21"/>
  <c r="B167" i="21"/>
  <c r="B166" i="21"/>
  <c r="B165" i="21"/>
  <c r="B164" i="21"/>
  <c r="B163" i="21"/>
  <c r="B162" i="21"/>
  <c r="B161" i="21"/>
  <c r="B160" i="21"/>
  <c r="B159" i="21"/>
  <c r="B158" i="21"/>
  <c r="B157" i="21"/>
  <c r="B156" i="21"/>
  <c r="B155" i="21"/>
  <c r="B154" i="21"/>
  <c r="B153" i="21"/>
  <c r="B152" i="21"/>
  <c r="B151" i="21"/>
  <c r="B150" i="21"/>
  <c r="B149" i="21"/>
  <c r="B148" i="21"/>
  <c r="B147" i="21"/>
  <c r="B146" i="21"/>
  <c r="B145" i="21"/>
  <c r="B144" i="21"/>
  <c r="B143" i="21"/>
  <c r="B142" i="21"/>
  <c r="B141" i="21"/>
  <c r="B140" i="21"/>
  <c r="B139" i="21"/>
  <c r="B138" i="21"/>
  <c r="B137" i="21"/>
  <c r="B132" i="21"/>
  <c r="B136" i="21"/>
  <c r="B135" i="21"/>
  <c r="B134" i="21"/>
  <c r="B133" i="21"/>
  <c r="B131" i="21"/>
  <c r="B130" i="21"/>
  <c r="B129" i="21"/>
  <c r="B128" i="21"/>
  <c r="B127" i="21"/>
  <c r="B126" i="21"/>
  <c r="B125" i="21"/>
  <c r="B124" i="21"/>
  <c r="B123" i="21"/>
  <c r="B122" i="21"/>
  <c r="B121" i="21"/>
  <c r="B120" i="21"/>
  <c r="B119" i="21"/>
  <c r="B118" i="21"/>
  <c r="B117" i="21"/>
  <c r="B116" i="21"/>
  <c r="B115" i="21"/>
  <c r="B114" i="21"/>
  <c r="B113" i="21"/>
  <c r="B112" i="21"/>
  <c r="B111" i="21"/>
  <c r="B110" i="21"/>
  <c r="B109" i="21"/>
  <c r="B108" i="21"/>
  <c r="B107" i="21"/>
  <c r="B106" i="21"/>
  <c r="B105" i="21"/>
  <c r="B104" i="21"/>
  <c r="B103" i="21"/>
  <c r="B102" i="21"/>
  <c r="B100" i="21"/>
  <c r="B99" i="21"/>
  <c r="B98" i="21"/>
  <c r="B97" i="21"/>
  <c r="B96" i="21"/>
  <c r="B95" i="21"/>
  <c r="B94" i="21"/>
  <c r="B93" i="21"/>
  <c r="B92" i="21"/>
  <c r="B91" i="21"/>
  <c r="B90" i="21"/>
  <c r="B89" i="21"/>
  <c r="B88" i="21"/>
  <c r="B87" i="21"/>
  <c r="B86" i="21"/>
  <c r="B85" i="21"/>
  <c r="B84" i="21"/>
  <c r="X101" i="5" l="1"/>
  <c r="AE18" i="5"/>
  <c r="X18" i="5"/>
  <c r="BY7" i="2"/>
  <c r="BP9" i="2"/>
  <c r="BP7" i="2"/>
  <c r="BG9" i="2"/>
  <c r="BY9" i="2" s="1"/>
  <c r="BG8" i="2"/>
  <c r="BP8" i="2" s="1"/>
  <c r="BG7" i="2"/>
  <c r="W59" i="16"/>
  <c r="W58" i="16"/>
  <c r="W57" i="16"/>
  <c r="W56" i="16"/>
  <c r="W55" i="16"/>
  <c r="W54" i="16"/>
  <c r="V59" i="16"/>
  <c r="V58" i="16"/>
  <c r="V57" i="16"/>
  <c r="V56" i="16"/>
  <c r="V55" i="16"/>
  <c r="V54" i="16"/>
  <c r="I8" i="8"/>
  <c r="I7" i="8"/>
  <c r="AO9" i="7"/>
  <c r="AN9" i="7"/>
  <c r="AL9" i="7"/>
  <c r="AJ9" i="7"/>
  <c r="AH9" i="7"/>
  <c r="U9" i="7"/>
  <c r="AL8" i="7"/>
  <c r="AJ8" i="7"/>
  <c r="AO8" i="7" s="1"/>
  <c r="AH8" i="7"/>
  <c r="AN8" i="7" s="1"/>
  <c r="U8" i="7"/>
  <c r="AL7" i="7"/>
  <c r="AJ7" i="7"/>
  <c r="AO7" i="7" s="1"/>
  <c r="AH7" i="7"/>
  <c r="AN7" i="7" s="1"/>
  <c r="U7" i="7"/>
  <c r="U9" i="30"/>
  <c r="M9" i="30"/>
  <c r="U8" i="30"/>
  <c r="M8" i="30"/>
  <c r="Y9" i="3"/>
  <c r="V9" i="3"/>
  <c r="T9" i="3"/>
  <c r="V8" i="3"/>
  <c r="T8" i="3"/>
  <c r="Y8" i="3" s="1"/>
  <c r="V7" i="3"/>
  <c r="T7" i="3"/>
  <c r="BY8" i="2" l="1"/>
  <c r="Y7" i="3"/>
  <c r="BK9" i="6" l="1"/>
  <c r="BJ9" i="6"/>
  <c r="BE9" i="6"/>
  <c r="AO9" i="6"/>
  <c r="BI9" i="6" s="1"/>
  <c r="AM9" i="6"/>
  <c r="CA9" i="6" s="1"/>
  <c r="AK9" i="6"/>
  <c r="BG9" i="6" s="1"/>
  <c r="AB9" i="6"/>
  <c r="X9" i="6"/>
  <c r="U9" i="6"/>
  <c r="R9" i="6"/>
  <c r="BL9" i="6" s="1"/>
  <c r="BK8" i="6"/>
  <c r="BJ8" i="6"/>
  <c r="BE8" i="6"/>
  <c r="AO8" i="6"/>
  <c r="BI8" i="6" s="1"/>
  <c r="AM8" i="6"/>
  <c r="CA8" i="6" s="1"/>
  <c r="AK8" i="6"/>
  <c r="BG8" i="6" s="1"/>
  <c r="X8" i="6"/>
  <c r="U8" i="6"/>
  <c r="R8" i="6"/>
  <c r="AB8" i="6" s="1"/>
  <c r="BK7" i="6"/>
  <c r="BJ7" i="6"/>
  <c r="BE7" i="6"/>
  <c r="AO7" i="6"/>
  <c r="BI7" i="6" s="1"/>
  <c r="AM7" i="6"/>
  <c r="CA7" i="6" s="1"/>
  <c r="AK7" i="6"/>
  <c r="BG7" i="6" s="1"/>
  <c r="X7" i="6"/>
  <c r="U7" i="6"/>
  <c r="R7" i="6"/>
  <c r="DM9" i="2"/>
  <c r="DL9" i="2"/>
  <c r="DJ9" i="2"/>
  <c r="DI9" i="2"/>
  <c r="DH9" i="2"/>
  <c r="DB9" i="2"/>
  <c r="BZ9" i="2"/>
  <c r="BQ9" i="2"/>
  <c r="BH9" i="2"/>
  <c r="AX9" i="2"/>
  <c r="DG9" i="2" s="1"/>
  <c r="AV9" i="2"/>
  <c r="DF9" i="2" s="1"/>
  <c r="AT9" i="2"/>
  <c r="DE9" i="2" s="1"/>
  <c r="AF9" i="2"/>
  <c r="AC9" i="2"/>
  <c r="Z9" i="2"/>
  <c r="AK9" i="2" s="1"/>
  <c r="DM8" i="2"/>
  <c r="DL8" i="2"/>
  <c r="DJ8" i="2"/>
  <c r="DI8" i="2"/>
  <c r="DH8" i="2"/>
  <c r="DB8" i="2"/>
  <c r="BZ8" i="2"/>
  <c r="BQ8" i="2"/>
  <c r="BH8" i="2"/>
  <c r="BI8" i="2" s="1"/>
  <c r="AX8" i="2"/>
  <c r="DG8" i="2" s="1"/>
  <c r="AV8" i="2"/>
  <c r="DF8" i="2" s="1"/>
  <c r="AT8" i="2"/>
  <c r="DE8" i="2" s="1"/>
  <c r="AF8" i="2"/>
  <c r="AC8" i="2"/>
  <c r="Z8" i="2"/>
  <c r="AK8" i="2" s="1"/>
  <c r="DM7" i="2"/>
  <c r="DL7" i="2"/>
  <c r="DJ7" i="2"/>
  <c r="DI7" i="2"/>
  <c r="DH7" i="2"/>
  <c r="DB7" i="2"/>
  <c r="AX7" i="2"/>
  <c r="DG7" i="2" s="1"/>
  <c r="AV7" i="2"/>
  <c r="DF7" i="2" s="1"/>
  <c r="AT7" i="2"/>
  <c r="DE7" i="2" s="1"/>
  <c r="AF7" i="2"/>
  <c r="AC7" i="2"/>
  <c r="Z7" i="2"/>
  <c r="AK7" i="2" s="1"/>
  <c r="BZ7" i="2"/>
  <c r="BQ7" i="2"/>
  <c r="BH7" i="2"/>
  <c r="U7" i="30"/>
  <c r="M7" i="30"/>
  <c r="M5" i="30" s="1"/>
  <c r="L5" i="30"/>
  <c r="K5" i="30"/>
  <c r="J5" i="30"/>
  <c r="I5" i="30"/>
  <c r="BH9" i="6" l="1"/>
  <c r="DK9" i="2"/>
  <c r="BR8" i="2"/>
  <c r="AB7" i="6"/>
  <c r="BH8" i="6"/>
  <c r="BL8" i="6"/>
  <c r="BH7" i="6"/>
  <c r="BL7" i="6"/>
  <c r="CA9" i="2"/>
  <c r="BR9" i="2"/>
  <c r="CA8" i="2"/>
  <c r="DN8" i="2" s="1"/>
  <c r="BI7" i="2"/>
  <c r="BR7" i="2"/>
  <c r="DK7" i="2"/>
  <c r="CA7" i="2"/>
  <c r="DK8" i="2"/>
  <c r="BI9" i="2"/>
  <c r="Z5" i="3"/>
  <c r="DN7" i="2" l="1"/>
  <c r="CK8" i="2"/>
  <c r="CK7" i="2"/>
  <c r="DN9" i="2"/>
  <c r="CK9" i="2"/>
  <c r="S5" i="6"/>
  <c r="U5" i="6"/>
  <c r="X5" i="2"/>
  <c r="T5" i="30"/>
  <c r="S5" i="30"/>
  <c r="R5" i="30"/>
  <c r="Q5" i="30"/>
  <c r="P5" i="30"/>
  <c r="O5" i="30"/>
  <c r="V60" i="16" s="1"/>
  <c r="A1" i="30"/>
  <c r="S9" i="1"/>
  <c r="S7" i="1"/>
  <c r="S6" i="1"/>
  <c r="B4" i="29"/>
  <c r="A1" i="29"/>
  <c r="W5" i="2"/>
  <c r="V5" i="2"/>
  <c r="U5" i="2"/>
  <c r="P5" i="6"/>
  <c r="O5" i="6"/>
  <c r="N5" i="6"/>
  <c r="M5" i="6"/>
  <c r="AF5" i="7"/>
  <c r="AE5" i="7"/>
  <c r="X5" i="3"/>
  <c r="W5" i="3"/>
  <c r="R5" i="3"/>
  <c r="Q5" i="3"/>
  <c r="P5" i="3"/>
  <c r="C11" i="16"/>
  <c r="C5" i="16"/>
  <c r="U5" i="30" l="1"/>
  <c r="Z5" i="2"/>
  <c r="AA5" i="2"/>
  <c r="T5" i="3"/>
  <c r="R5" i="6"/>
  <c r="S8" i="1"/>
  <c r="V5" i="3"/>
  <c r="X5" i="6" l="1"/>
  <c r="V5" i="6"/>
  <c r="AC5" i="2"/>
  <c r="Y5" i="3"/>
  <c r="A22" i="16"/>
  <c r="A37" i="16"/>
  <c r="N10" i="1"/>
  <c r="O7" i="1"/>
  <c r="O8" i="1" s="1"/>
  <c r="N9" i="1" s="1"/>
  <c r="N7" i="1"/>
  <c r="N6" i="1"/>
  <c r="L44" i="16" l="1"/>
  <c r="L43" i="16"/>
  <c r="L41" i="16"/>
  <c r="L39" i="16"/>
  <c r="L30" i="16"/>
  <c r="L29" i="16"/>
  <c r="L26" i="16"/>
  <c r="L25" i="16"/>
  <c r="L24" i="16"/>
  <c r="K44" i="16"/>
  <c r="K39" i="16"/>
  <c r="K30" i="16"/>
  <c r="K29" i="16"/>
  <c r="K41" i="16"/>
  <c r="K26" i="16"/>
  <c r="K25" i="16"/>
  <c r="K24" i="16"/>
  <c r="L40" i="16"/>
  <c r="L28" i="16"/>
  <c r="L45" i="16"/>
  <c r="K40" i="16"/>
  <c r="K28" i="16"/>
  <c r="K45" i="16"/>
  <c r="K43" i="16"/>
  <c r="Z5" i="6"/>
  <c r="AD5" i="2"/>
  <c r="A53" i="16"/>
  <c r="L53" i="16" s="1"/>
  <c r="N8" i="1"/>
  <c r="K42" i="16" l="1"/>
  <c r="L42" i="16"/>
  <c r="L27" i="16"/>
  <c r="K27" i="16"/>
  <c r="AA5" i="6"/>
  <c r="AF5" i="2"/>
  <c r="AB5" i="6" l="1"/>
  <c r="AG5" i="2"/>
  <c r="AC5" i="6" l="1"/>
  <c r="AH5" i="2"/>
  <c r="AJ5" i="7"/>
  <c r="AH5" i="7"/>
  <c r="O5" i="3"/>
  <c r="L48" i="16" l="1"/>
  <c r="K48" i="16"/>
  <c r="L34" i="16"/>
  <c r="L35" i="16" s="1"/>
  <c r="M26" i="16"/>
  <c r="K34" i="16"/>
  <c r="K35" i="16" s="1"/>
  <c r="M30" i="16"/>
  <c r="M24" i="16"/>
  <c r="AI5" i="2"/>
  <c r="M25" i="16" l="1"/>
  <c r="M23" i="16" s="1"/>
  <c r="M29" i="16"/>
  <c r="M28" i="16"/>
  <c r="M48" i="16"/>
  <c r="AJ5" i="2"/>
  <c r="M27" i="16" l="1"/>
  <c r="AK5" i="6"/>
  <c r="AK5" i="2"/>
  <c r="AL5" i="2" l="1"/>
  <c r="K70" i="16"/>
  <c r="K64" i="16"/>
  <c r="L74" i="16"/>
  <c r="AM5" i="6" l="1"/>
  <c r="K74" i="16"/>
  <c r="AT5" i="2" l="1"/>
  <c r="K23" i="16"/>
  <c r="M34" i="16"/>
  <c r="M53" i="16" s="1"/>
  <c r="A54" i="16"/>
  <c r="L54" i="16" s="1"/>
  <c r="AV5" i="2" l="1"/>
  <c r="L23" i="16"/>
  <c r="K31" i="16"/>
  <c r="M54" i="16"/>
  <c r="X59" i="16"/>
  <c r="L38" i="16"/>
  <c r="K38" i="16"/>
  <c r="AR5" i="6" l="1"/>
  <c r="AX5" i="2"/>
  <c r="K46" i="16"/>
  <c r="K47" i="16" s="1"/>
  <c r="K49" i="16" s="1"/>
  <c r="L46" i="16"/>
  <c r="L47" i="16" s="1"/>
  <c r="L49" i="16" s="1"/>
  <c r="L31" i="16"/>
  <c r="AS5" i="6" l="1"/>
  <c r="M31" i="16"/>
  <c r="M33" i="16" s="1"/>
  <c r="M46" i="16"/>
  <c r="K54" i="16" s="1"/>
  <c r="M47" i="16"/>
  <c r="M49" i="16" s="1"/>
  <c r="X56" i="16"/>
  <c r="X55" i="16"/>
  <c r="X57" i="16"/>
  <c r="X54" i="16"/>
  <c r="AT5" i="6" l="1"/>
  <c r="BG5" i="2"/>
  <c r="M32" i="16"/>
  <c r="M35" i="16" s="1"/>
  <c r="K53" i="16"/>
  <c r="C5" i="4"/>
  <c r="C6" i="5"/>
  <c r="CE5" i="6" l="1"/>
  <c r="BI5" i="2"/>
  <c r="B305" i="21"/>
  <c r="B288" i="21"/>
  <c r="B283" i="21"/>
  <c r="B251" i="21"/>
  <c r="B245" i="21"/>
  <c r="B238" i="21"/>
  <c r="B232" i="21"/>
  <c r="B221" i="21"/>
  <c r="B74" i="21"/>
  <c r="B63" i="21"/>
  <c r="B59" i="21"/>
  <c r="B43" i="21"/>
  <c r="K305" i="21"/>
  <c r="J305" i="21"/>
  <c r="J288" i="21"/>
  <c r="I288" i="21"/>
  <c r="K283" i="21"/>
  <c r="J283" i="21"/>
  <c r="J251" i="21"/>
  <c r="K245" i="21"/>
  <c r="J245" i="21"/>
  <c r="J238" i="21"/>
  <c r="J232" i="21"/>
  <c r="K221" i="21"/>
  <c r="J221" i="21"/>
  <c r="J74" i="21"/>
  <c r="K63" i="21"/>
  <c r="J63" i="21"/>
  <c r="I63" i="21"/>
  <c r="H63" i="21"/>
  <c r="G63" i="21"/>
  <c r="K59" i="21"/>
  <c r="J59" i="21"/>
  <c r="I59" i="21"/>
  <c r="H59" i="21"/>
  <c r="G59" i="21"/>
  <c r="K43" i="21"/>
  <c r="J43" i="21"/>
  <c r="I43" i="21"/>
  <c r="H43" i="21"/>
  <c r="G43" i="21"/>
  <c r="B304" i="21"/>
  <c r="B303" i="21"/>
  <c r="B302" i="21"/>
  <c r="B301" i="21"/>
  <c r="B300" i="21"/>
  <c r="B299" i="21"/>
  <c r="B298" i="21"/>
  <c r="B297" i="21"/>
  <c r="B296" i="21"/>
  <c r="B295" i="21"/>
  <c r="B294" i="21"/>
  <c r="B293" i="21"/>
  <c r="B292" i="21"/>
  <c r="B291" i="21"/>
  <c r="B290" i="21"/>
  <c r="B289" i="21"/>
  <c r="B287" i="21"/>
  <c r="B286" i="21"/>
  <c r="B285" i="21"/>
  <c r="B284" i="21"/>
  <c r="B282" i="21"/>
  <c r="B281" i="21"/>
  <c r="B280" i="21"/>
  <c r="B279" i="21"/>
  <c r="B278" i="21"/>
  <c r="B277" i="21"/>
  <c r="B276" i="21"/>
  <c r="B275" i="21"/>
  <c r="B274" i="21"/>
  <c r="B273" i="21"/>
  <c r="B272" i="21"/>
  <c r="B271" i="21"/>
  <c r="B270" i="21"/>
  <c r="B269" i="21"/>
  <c r="B268" i="21"/>
  <c r="B267" i="21"/>
  <c r="B266" i="21"/>
  <c r="B265" i="21"/>
  <c r="B264" i="21"/>
  <c r="B263" i="21"/>
  <c r="B262" i="21"/>
  <c r="B261" i="21"/>
  <c r="B260" i="21"/>
  <c r="B259" i="21"/>
  <c r="B258" i="21"/>
  <c r="B257" i="21"/>
  <c r="B256" i="21"/>
  <c r="B255" i="21"/>
  <c r="B254" i="21"/>
  <c r="B252" i="21"/>
  <c r="B250" i="21"/>
  <c r="B249" i="21"/>
  <c r="B248" i="21"/>
  <c r="B247" i="21"/>
  <c r="B246" i="21"/>
  <c r="B244" i="21"/>
  <c r="B243" i="21"/>
  <c r="B242" i="21"/>
  <c r="B241" i="21"/>
  <c r="B240" i="21"/>
  <c r="B239" i="21"/>
  <c r="B235" i="21"/>
  <c r="B234" i="21"/>
  <c r="B237" i="21"/>
  <c r="B236" i="21"/>
  <c r="B231" i="21"/>
  <c r="B230" i="21"/>
  <c r="B229" i="21"/>
  <c r="B228" i="21"/>
  <c r="B227" i="21"/>
  <c r="B226" i="21"/>
  <c r="B225" i="21"/>
  <c r="B233" i="21"/>
  <c r="B224" i="21"/>
  <c r="B223" i="21"/>
  <c r="B222" i="21"/>
  <c r="B83" i="21"/>
  <c r="B82" i="21"/>
  <c r="B79" i="21"/>
  <c r="B78" i="21"/>
  <c r="B77" i="21"/>
  <c r="B76" i="21"/>
  <c r="B75" i="21"/>
  <c r="B73" i="21"/>
  <c r="B72" i="21"/>
  <c r="B71" i="21"/>
  <c r="B70" i="21"/>
  <c r="B69" i="21"/>
  <c r="B68" i="21"/>
  <c r="B67" i="21"/>
  <c r="B66" i="21"/>
  <c r="B65" i="21"/>
  <c r="B44" i="21"/>
  <c r="B13" i="21"/>
  <c r="B12" i="21"/>
  <c r="B62" i="21"/>
  <c r="B61" i="21"/>
  <c r="B60" i="21"/>
  <c r="B58" i="21"/>
  <c r="B57" i="21"/>
  <c r="B56" i="21"/>
  <c r="B55" i="21"/>
  <c r="B54" i="21"/>
  <c r="B53" i="21"/>
  <c r="B52" i="21"/>
  <c r="B51" i="21"/>
  <c r="B50" i="21"/>
  <c r="B49" i="21"/>
  <c r="B48" i="21"/>
  <c r="B47" i="21"/>
  <c r="B42" i="21"/>
  <c r="B41" i="21"/>
  <c r="B40" i="21"/>
  <c r="B39" i="21"/>
  <c r="B38" i="21"/>
  <c r="B37" i="21"/>
  <c r="B36" i="21"/>
  <c r="B35" i="21"/>
  <c r="B34" i="21"/>
  <c r="B33" i="21"/>
  <c r="B32" i="21"/>
  <c r="B31" i="21"/>
  <c r="B30" i="21"/>
  <c r="B29" i="21"/>
  <c r="B28" i="21"/>
  <c r="B27" i="21"/>
  <c r="B26" i="21"/>
  <c r="B25" i="21"/>
  <c r="B24" i="21"/>
  <c r="B23" i="21"/>
  <c r="B22" i="21"/>
  <c r="B21" i="21"/>
  <c r="B20" i="21"/>
  <c r="B19" i="21"/>
  <c r="B18" i="21"/>
  <c r="B17" i="21"/>
  <c r="B16" i="21"/>
  <c r="B15" i="21"/>
  <c r="B14" i="21"/>
  <c r="CG5" i="6" l="1"/>
  <c r="BK5" i="2"/>
  <c r="B253" i="21"/>
  <c r="B81" i="21"/>
  <c r="B80" i="21"/>
  <c r="CI5" i="6" l="1"/>
  <c r="V7" i="5"/>
  <c r="U7" i="5"/>
  <c r="T7" i="5"/>
  <c r="S7" i="5"/>
  <c r="U6" i="4"/>
  <c r="T6" i="4"/>
  <c r="S6" i="4"/>
  <c r="R6" i="4"/>
  <c r="B16" i="16"/>
  <c r="B15" i="16"/>
  <c r="B14" i="16"/>
  <c r="B13" i="16"/>
  <c r="B12" i="16"/>
  <c r="B11" i="16"/>
  <c r="B10" i="16"/>
  <c r="B9" i="16"/>
  <c r="B8" i="16"/>
  <c r="B7" i="16"/>
  <c r="B6" i="16"/>
  <c r="B5" i="16"/>
  <c r="B4" i="3"/>
  <c r="D10" i="16" l="1"/>
  <c r="P10" i="16"/>
  <c r="F10" i="16"/>
  <c r="D6" i="16"/>
  <c r="F6" i="16"/>
  <c r="P6" i="16"/>
  <c r="D11" i="16"/>
  <c r="F11" i="16"/>
  <c r="P11" i="16"/>
  <c r="D12" i="16"/>
  <c r="F12" i="16"/>
  <c r="P12" i="16"/>
  <c r="D13" i="16"/>
  <c r="P13" i="16"/>
  <c r="F13" i="16"/>
  <c r="D14" i="16"/>
  <c r="F14" i="16"/>
  <c r="P14" i="16"/>
  <c r="D15" i="16"/>
  <c r="P15" i="16"/>
  <c r="F15" i="16"/>
  <c r="D16" i="16"/>
  <c r="P16" i="16"/>
  <c r="F16" i="16"/>
  <c r="D5" i="16"/>
  <c r="P5" i="16"/>
  <c r="F5" i="16"/>
  <c r="D7" i="16"/>
  <c r="P7" i="16"/>
  <c r="F7" i="16"/>
  <c r="D8" i="16"/>
  <c r="P8" i="16"/>
  <c r="F8" i="16"/>
  <c r="D9" i="16"/>
  <c r="P9" i="16"/>
  <c r="F9" i="16"/>
  <c r="CK5" i="6"/>
  <c r="BP5" i="2"/>
  <c r="H7" i="16"/>
  <c r="E7" i="16"/>
  <c r="I7" i="16"/>
  <c r="E11" i="16"/>
  <c r="H11" i="16"/>
  <c r="I11" i="16"/>
  <c r="H15" i="16"/>
  <c r="E15" i="16"/>
  <c r="I15" i="16"/>
  <c r="H8" i="16"/>
  <c r="I8" i="16"/>
  <c r="E8" i="16"/>
  <c r="H12" i="16"/>
  <c r="I12" i="16"/>
  <c r="E12" i="16"/>
  <c r="I16" i="16"/>
  <c r="E16" i="16"/>
  <c r="H16" i="16"/>
  <c r="I5" i="16"/>
  <c r="E5" i="16"/>
  <c r="H5" i="16"/>
  <c r="H9" i="16"/>
  <c r="I9" i="16"/>
  <c r="H13" i="16"/>
  <c r="E13" i="16"/>
  <c r="I13" i="16"/>
  <c r="E6" i="16"/>
  <c r="H6" i="16"/>
  <c r="I6" i="16"/>
  <c r="E10" i="16"/>
  <c r="I10" i="16"/>
  <c r="H10" i="16"/>
  <c r="H14" i="16"/>
  <c r="E14" i="16"/>
  <c r="I14" i="16"/>
  <c r="B4" i="6"/>
  <c r="B4" i="2"/>
  <c r="CM5" i="6" l="1"/>
  <c r="BR5" i="2"/>
  <c r="W60" i="16"/>
  <c r="X58" i="16"/>
  <c r="X60" i="16" s="1"/>
  <c r="CO5" i="6" l="1"/>
  <c r="BT5" i="2"/>
  <c r="O5" i="7"/>
  <c r="CQ5" i="6" l="1"/>
  <c r="AE111" i="5"/>
  <c r="AE22" i="5"/>
  <c r="AE21" i="5" s="1"/>
  <c r="X92" i="5"/>
  <c r="X118" i="5"/>
  <c r="X117" i="5" s="1"/>
  <c r="AE99" i="5"/>
  <c r="AE100" i="5"/>
  <c r="X99" i="5"/>
  <c r="X146" i="5"/>
  <c r="X145" i="5" s="1"/>
  <c r="X42" i="5"/>
  <c r="X41" i="5" s="1"/>
  <c r="X143" i="5"/>
  <c r="X96" i="5"/>
  <c r="X22" i="5"/>
  <c r="X21" i="5" s="1"/>
  <c r="X94" i="5"/>
  <c r="AE120" i="5"/>
  <c r="AE119" i="5" s="1"/>
  <c r="AE146" i="5"/>
  <c r="AE145" i="5" s="1"/>
  <c r="AE20" i="5"/>
  <c r="AE19" i="5" s="1"/>
  <c r="X44" i="5"/>
  <c r="X43" i="5" s="1"/>
  <c r="X100" i="5"/>
  <c r="X20" i="5"/>
  <c r="X19" i="5" s="1"/>
  <c r="X102" i="5"/>
  <c r="AE118" i="5"/>
  <c r="AE117" i="5" s="1"/>
  <c r="X111" i="5"/>
  <c r="X70" i="5"/>
  <c r="X69" i="5" s="1"/>
  <c r="X120" i="5"/>
  <c r="X119" i="5" s="1"/>
  <c r="AE102" i="5"/>
  <c r="X113" i="5"/>
  <c r="X144" i="5"/>
  <c r="X142" i="5"/>
  <c r="X65" i="5"/>
  <c r="AE44" i="5"/>
  <c r="AE43" i="5" s="1"/>
  <c r="X97" i="5"/>
  <c r="X95" i="5"/>
  <c r="X93" i="5"/>
  <c r="AE42" i="5"/>
  <c r="AE41" i="5" s="1"/>
  <c r="AE70" i="5"/>
  <c r="AE69" i="5" s="1"/>
  <c r="AE113" i="5"/>
  <c r="AE65" i="5"/>
  <c r="B5" i="8"/>
  <c r="C5" i="5"/>
  <c r="AE98" i="5" l="1"/>
  <c r="CS5" i="6"/>
  <c r="X98" i="5"/>
  <c r="X91" i="5"/>
  <c r="BY5" i="2"/>
  <c r="B1" i="16"/>
  <c r="X135" i="4"/>
  <c r="I135" i="4"/>
  <c r="X134" i="4"/>
  <c r="C134" i="4"/>
  <c r="Y22" i="4"/>
  <c r="Z22" i="4" s="1"/>
  <c r="R22" i="4"/>
  <c r="Y21" i="4"/>
  <c r="Z21" i="4" s="1"/>
  <c r="R21" i="4"/>
  <c r="Y20" i="4"/>
  <c r="Z20" i="4" s="1"/>
  <c r="R20" i="4"/>
  <c r="P10" i="4"/>
  <c r="B10" i="4"/>
  <c r="C4" i="4"/>
  <c r="C6" i="16"/>
  <c r="AG111" i="4"/>
  <c r="CU5" i="6" l="1"/>
  <c r="CA5" i="2"/>
  <c r="D5" i="4"/>
  <c r="D4" i="4" s="1"/>
  <c r="D6" i="5"/>
  <c r="D5" i="5" s="1"/>
  <c r="AF5" i="16"/>
  <c r="AE5" i="16"/>
  <c r="C7" i="16"/>
  <c r="AA6" i="16" s="1"/>
  <c r="CC5" i="2" l="1"/>
  <c r="E5" i="4"/>
  <c r="E4" i="4" s="1"/>
  <c r="E6" i="5"/>
  <c r="E5" i="5" s="1"/>
  <c r="C8" i="16"/>
  <c r="CD5" i="2" l="1"/>
  <c r="AA7" i="16"/>
  <c r="F5" i="4"/>
  <c r="F4" i="4" s="1"/>
  <c r="F6" i="5"/>
  <c r="F5" i="5" s="1"/>
  <c r="R45" i="4"/>
  <c r="C9" i="16"/>
  <c r="CE5" i="2" l="1"/>
  <c r="G5" i="4"/>
  <c r="G4" i="4" s="1"/>
  <c r="G6" i="5"/>
  <c r="G5" i="5" s="1"/>
  <c r="R57" i="4"/>
  <c r="Y49" i="4"/>
  <c r="Z49" i="4" s="1"/>
  <c r="Y44" i="4"/>
  <c r="Z44" i="4" s="1"/>
  <c r="AG44" i="4" s="1"/>
  <c r="R49" i="4"/>
  <c r="X57" i="4"/>
  <c r="Y45" i="4"/>
  <c r="Z45" i="4" s="1"/>
  <c r="AG45" i="4" s="1"/>
  <c r="R44" i="4"/>
  <c r="Y46" i="4"/>
  <c r="Z46" i="4" s="1"/>
  <c r="AG46" i="4" s="1"/>
  <c r="R46" i="4"/>
  <c r="C10" i="16"/>
  <c r="CF5" i="2" l="1"/>
  <c r="H5" i="4"/>
  <c r="H4" i="4" s="1"/>
  <c r="H6" i="5"/>
  <c r="H5" i="5" s="1"/>
  <c r="C12" i="16"/>
  <c r="CG5" i="2" l="1"/>
  <c r="AA11" i="16"/>
  <c r="J5" i="4"/>
  <c r="J6" i="5"/>
  <c r="J5" i="5" s="1"/>
  <c r="I5" i="4"/>
  <c r="I4" i="4" s="1"/>
  <c r="I6" i="5"/>
  <c r="I5" i="5" s="1"/>
  <c r="CH5" i="2" l="1"/>
  <c r="AE179" i="5"/>
  <c r="J4" i="4"/>
  <c r="C13" i="16"/>
  <c r="CI5" i="2" l="1"/>
  <c r="AA12" i="16"/>
  <c r="K5" i="4"/>
  <c r="K4" i="4" s="1"/>
  <c r="K6" i="5"/>
  <c r="K5" i="5" s="1"/>
  <c r="AE184" i="5"/>
  <c r="X106" i="5"/>
  <c r="AE254" i="5"/>
  <c r="AE194" i="5"/>
  <c r="AE268" i="5"/>
  <c r="AE78" i="5"/>
  <c r="X257" i="5"/>
  <c r="AE171" i="5"/>
  <c r="X158" i="5"/>
  <c r="X103" i="5"/>
  <c r="X66" i="5"/>
  <c r="X197" i="5"/>
  <c r="AE136" i="5"/>
  <c r="X282" i="5"/>
  <c r="X126" i="5"/>
  <c r="AE298" i="5"/>
  <c r="X220" i="5"/>
  <c r="X314" i="5"/>
  <c r="X301" i="5"/>
  <c r="X55" i="5"/>
  <c r="X224" i="5"/>
  <c r="X294" i="5"/>
  <c r="AE198" i="5"/>
  <c r="AE167" i="5"/>
  <c r="AE208" i="5"/>
  <c r="AE189" i="5"/>
  <c r="AE138" i="5"/>
  <c r="AE137" i="5" s="1"/>
  <c r="AE83" i="5"/>
  <c r="AE293" i="5"/>
  <c r="X28" i="5"/>
  <c r="X105" i="5"/>
  <c r="AE228" i="5"/>
  <c r="AE211" i="5"/>
  <c r="X140" i="5"/>
  <c r="X274" i="5"/>
  <c r="X255" i="5"/>
  <c r="AE195" i="5"/>
  <c r="X132" i="5"/>
  <c r="AE303" i="5"/>
  <c r="X238" i="5"/>
  <c r="X222" i="5"/>
  <c r="AE109" i="5"/>
  <c r="AE318" i="5"/>
  <c r="X161" i="5"/>
  <c r="AE140" i="5"/>
  <c r="X167" i="5"/>
  <c r="X251" i="5"/>
  <c r="X298" i="5"/>
  <c r="X25" i="5"/>
  <c r="AE244" i="5"/>
  <c r="X71" i="5"/>
  <c r="AE215" i="5"/>
  <c r="AE309" i="5"/>
  <c r="X272" i="5"/>
  <c r="X304" i="5"/>
  <c r="X253" i="5"/>
  <c r="X115" i="5"/>
  <c r="X200" i="5"/>
  <c r="AE261" i="5"/>
  <c r="AE154" i="5"/>
  <c r="X86" i="5"/>
  <c r="X248" i="5"/>
  <c r="AE308" i="5"/>
  <c r="X182" i="5"/>
  <c r="X76" i="5"/>
  <c r="X125" i="5"/>
  <c r="AE220" i="5"/>
  <c r="X299" i="5"/>
  <c r="X26" i="5"/>
  <c r="X175" i="5"/>
  <c r="AE151" i="5"/>
  <c r="X136" i="5"/>
  <c r="AE259" i="5"/>
  <c r="X127" i="5"/>
  <c r="AE51" i="5"/>
  <c r="AE165" i="5"/>
  <c r="X236" i="5"/>
  <c r="X270" i="5"/>
  <c r="X308" i="5"/>
  <c r="X232" i="5"/>
  <c r="X108" i="5"/>
  <c r="X61" i="5"/>
  <c r="X186" i="5"/>
  <c r="AE247" i="5"/>
  <c r="AE276" i="5"/>
  <c r="AE237" i="5"/>
  <c r="X191" i="5"/>
  <c r="AE246" i="5"/>
  <c r="X90" i="5"/>
  <c r="AE153" i="5"/>
  <c r="X34" i="5"/>
  <c r="X285" i="5"/>
  <c r="AE81" i="5"/>
  <c r="AE216" i="5"/>
  <c r="AE210" i="5"/>
  <c r="AE305" i="5"/>
  <c r="AE104" i="5"/>
  <c r="AE314" i="5"/>
  <c r="X237" i="5"/>
  <c r="X29" i="5"/>
  <c r="AE122" i="5"/>
  <c r="X239" i="5"/>
  <c r="X311" i="5"/>
  <c r="X85" i="5"/>
  <c r="X193" i="5"/>
  <c r="X195" i="5"/>
  <c r="X271" i="5"/>
  <c r="AE126" i="5"/>
  <c r="X315" i="5"/>
  <c r="X116" i="5"/>
  <c r="AE157" i="5"/>
  <c r="AE186" i="5"/>
  <c r="X289" i="5"/>
  <c r="AE84" i="5"/>
  <c r="AE191" i="5"/>
  <c r="AE285" i="5"/>
  <c r="AE226" i="5"/>
  <c r="AE31" i="5"/>
  <c r="AE280" i="5"/>
  <c r="AE85" i="5"/>
  <c r="X208" i="5"/>
  <c r="X80" i="5"/>
  <c r="X165" i="5"/>
  <c r="X259" i="5"/>
  <c r="AE48" i="5"/>
  <c r="AE90" i="5"/>
  <c r="AE200" i="5"/>
  <c r="X250" i="5"/>
  <c r="X293" i="5"/>
  <c r="AE66" i="5"/>
  <c r="X154" i="5"/>
  <c r="AE188" i="5"/>
  <c r="X252" i="5"/>
  <c r="X287" i="5"/>
  <c r="AE133" i="5"/>
  <c r="AE256" i="5"/>
  <c r="AE26" i="5"/>
  <c r="AE68" i="5"/>
  <c r="AE193" i="5"/>
  <c r="AE289" i="5"/>
  <c r="X89" i="5"/>
  <c r="AE297" i="5"/>
  <c r="X246" i="5"/>
  <c r="AE116" i="5"/>
  <c r="AE86" i="5"/>
  <c r="AE306" i="5"/>
  <c r="AE224" i="5"/>
  <c r="X48" i="5"/>
  <c r="X153" i="5"/>
  <c r="AE115" i="5"/>
  <c r="X283" i="5"/>
  <c r="AE89" i="5"/>
  <c r="X184" i="5"/>
  <c r="AE245" i="5"/>
  <c r="X171" i="5"/>
  <c r="X214" i="5"/>
  <c r="AE248" i="5"/>
  <c r="AE52" i="5"/>
  <c r="X309" i="5"/>
  <c r="X188" i="5"/>
  <c r="AE249" i="5"/>
  <c r="X183" i="5"/>
  <c r="X67" i="5"/>
  <c r="AE230" i="5"/>
  <c r="X280" i="5"/>
  <c r="X155" i="5"/>
  <c r="X310" i="5"/>
  <c r="X133" i="5"/>
  <c r="X226" i="5"/>
  <c r="X295" i="5"/>
  <c r="AE304" i="5"/>
  <c r="AE106" i="5"/>
  <c r="X57" i="5"/>
  <c r="X204" i="5"/>
  <c r="X266" i="5"/>
  <c r="AE169" i="5"/>
  <c r="AE238" i="5"/>
  <c r="X198" i="5"/>
  <c r="AE312" i="5"/>
  <c r="AE108" i="5"/>
  <c r="X56" i="5"/>
  <c r="AE82" i="5"/>
  <c r="X181" i="5"/>
  <c r="AE204" i="5"/>
  <c r="AE242" i="5"/>
  <c r="AE302" i="5"/>
  <c r="X203" i="5"/>
  <c r="AE283" i="5"/>
  <c r="AE103" i="5"/>
  <c r="AE88" i="5"/>
  <c r="AE212" i="5"/>
  <c r="AE307" i="5"/>
  <c r="X173" i="5"/>
  <c r="AE313" i="5"/>
  <c r="AE260" i="5"/>
  <c r="X27" i="5"/>
  <c r="X185" i="5"/>
  <c r="X179" i="5"/>
  <c r="X52" i="5"/>
  <c r="X268" i="5"/>
  <c r="AE183" i="5"/>
  <c r="AE187" i="5"/>
  <c r="X216" i="5"/>
  <c r="AE300" i="5"/>
  <c r="AE132" i="5"/>
  <c r="X201" i="5"/>
  <c r="X228" i="5"/>
  <c r="X263" i="5"/>
  <c r="X296" i="5"/>
  <c r="AE159" i="5"/>
  <c r="AE265" i="5"/>
  <c r="X134" i="5"/>
  <c r="X83" i="5"/>
  <c r="AE28" i="5"/>
  <c r="AE181" i="5"/>
  <c r="X245" i="5"/>
  <c r="AE274" i="5"/>
  <c r="X317" i="5"/>
  <c r="X58" i="5"/>
  <c r="X212" i="5"/>
  <c r="AE71" i="5"/>
  <c r="AE25" i="5"/>
  <c r="X180" i="5"/>
  <c r="AE203" i="5"/>
  <c r="AE241" i="5"/>
  <c r="AE301" i="5"/>
  <c r="X157" i="5"/>
  <c r="AE236" i="5"/>
  <c r="X77" i="5"/>
  <c r="AE134" i="5"/>
  <c r="X109" i="5"/>
  <c r="X189" i="5"/>
  <c r="AE222" i="5"/>
  <c r="X300" i="5"/>
  <c r="X163" i="5"/>
  <c r="X254" i="5"/>
  <c r="X81" i="5"/>
  <c r="X202" i="5"/>
  <c r="X230" i="5"/>
  <c r="X265" i="5"/>
  <c r="X297" i="5"/>
  <c r="AE155" i="5"/>
  <c r="AE267" i="5"/>
  <c r="X303" i="5"/>
  <c r="AE182" i="5"/>
  <c r="X291" i="5"/>
  <c r="X122" i="5"/>
  <c r="X78" i="5"/>
  <c r="AE173" i="5"/>
  <c r="X240" i="5"/>
  <c r="X276" i="5"/>
  <c r="X312" i="5"/>
  <c r="AE202" i="5"/>
  <c r="AE291" i="5"/>
  <c r="AE34" i="5"/>
  <c r="X169" i="5"/>
  <c r="AE197" i="5"/>
  <c r="X261" i="5"/>
  <c r="AE295" i="5"/>
  <c r="X318" i="5"/>
  <c r="X84" i="5"/>
  <c r="AE141" i="5"/>
  <c r="X247" i="5"/>
  <c r="X196" i="5"/>
  <c r="X218" i="5"/>
  <c r="AE257" i="5"/>
  <c r="AE317" i="5"/>
  <c r="X199" i="5"/>
  <c r="AE266" i="5"/>
  <c r="X59" i="5"/>
  <c r="X31" i="5"/>
  <c r="X51" i="5"/>
  <c r="X206" i="5"/>
  <c r="X244" i="5"/>
  <c r="X316" i="5"/>
  <c r="X79" i="5"/>
  <c r="AE175" i="5"/>
  <c r="X241" i="5"/>
  <c r="X278" i="5"/>
  <c r="X313" i="5"/>
  <c r="X138" i="5"/>
  <c r="AE199" i="5"/>
  <c r="AE278" i="5"/>
  <c r="X320" i="5"/>
  <c r="X211" i="5"/>
  <c r="AE316" i="5"/>
  <c r="AE77" i="5"/>
  <c r="X104" i="5"/>
  <c r="AE67" i="5"/>
  <c r="X159" i="5"/>
  <c r="AE192" i="5"/>
  <c r="X256" i="5"/>
  <c r="AE287" i="5"/>
  <c r="AE234" i="5"/>
  <c r="X302" i="5"/>
  <c r="X190" i="5"/>
  <c r="X210" i="5"/>
  <c r="AE251" i="5"/>
  <c r="AE311" i="5"/>
  <c r="AE252" i="5"/>
  <c r="AE29" i="5"/>
  <c r="X192" i="5"/>
  <c r="AE253" i="5"/>
  <c r="AE76" i="5"/>
  <c r="AE80" i="5"/>
  <c r="AE163" i="5"/>
  <c r="X234" i="5"/>
  <c r="AE272" i="5"/>
  <c r="X307" i="5"/>
  <c r="AE190" i="5"/>
  <c r="AE296" i="5"/>
  <c r="X141" i="5"/>
  <c r="X82" i="5"/>
  <c r="AE27" i="5"/>
  <c r="AE127" i="5"/>
  <c r="AE180" i="5"/>
  <c r="X267" i="5"/>
  <c r="AE214" i="5"/>
  <c r="X194" i="5"/>
  <c r="AE196" i="5"/>
  <c r="X260" i="5"/>
  <c r="AE294" i="5"/>
  <c r="AE125" i="5"/>
  <c r="X242" i="5"/>
  <c r="AE158" i="5"/>
  <c r="AE250" i="5"/>
  <c r="AE310" i="5"/>
  <c r="X187" i="5"/>
  <c r="AE240" i="5"/>
  <c r="X107" i="5"/>
  <c r="X68" i="5"/>
  <c r="AE105" i="5"/>
  <c r="AE232" i="5"/>
  <c r="AE177" i="5"/>
  <c r="AE271" i="5"/>
  <c r="X88" i="5"/>
  <c r="AE270" i="5"/>
  <c r="X151" i="5"/>
  <c r="AE185" i="5"/>
  <c r="X249" i="5"/>
  <c r="AE282" i="5"/>
  <c r="AE79" i="5"/>
  <c r="X177" i="5"/>
  <c r="AE201" i="5"/>
  <c r="AE239" i="5"/>
  <c r="AE299" i="5"/>
  <c r="X215" i="5"/>
  <c r="AE255" i="5"/>
  <c r="X305" i="5"/>
  <c r="AE315" i="5"/>
  <c r="X306" i="5"/>
  <c r="C14" i="16"/>
  <c r="AA13" i="16" s="1"/>
  <c r="CJ5" i="2" l="1"/>
  <c r="X64" i="5"/>
  <c r="AE64" i="5"/>
  <c r="L5" i="4"/>
  <c r="L4" i="4" s="1"/>
  <c r="L6" i="5"/>
  <c r="L5" i="5" s="1"/>
  <c r="C15" i="16"/>
  <c r="CK5" i="2" l="1"/>
  <c r="AA14" i="16"/>
  <c r="M5" i="4"/>
  <c r="M4" i="4" s="1"/>
  <c r="M6" i="5"/>
  <c r="M5" i="5" s="1"/>
  <c r="C16" i="16"/>
  <c r="AA16" i="16" s="1"/>
  <c r="W7" i="16" l="1"/>
  <c r="O11" i="16"/>
  <c r="T11" i="16"/>
  <c r="X15" i="16"/>
  <c r="Y8" i="16"/>
  <c r="T12" i="16"/>
  <c r="W12" i="16"/>
  <c r="R16" i="16"/>
  <c r="W16" i="16"/>
  <c r="W5" i="16"/>
  <c r="O5" i="16"/>
  <c r="X9" i="16"/>
  <c r="T9" i="16"/>
  <c r="O13" i="16"/>
  <c r="W13" i="16"/>
  <c r="X13" i="16"/>
  <c r="X6" i="16"/>
  <c r="T6" i="16"/>
  <c r="T10" i="16"/>
  <c r="O10" i="16"/>
  <c r="S11" i="16"/>
  <c r="S6" i="16"/>
  <c r="X7" i="16"/>
  <c r="Y15" i="16"/>
  <c r="W8" i="16"/>
  <c r="O8" i="16"/>
  <c r="R12" i="16"/>
  <c r="X16" i="16"/>
  <c r="O16" i="16"/>
  <c r="Y5" i="16"/>
  <c r="T5" i="16"/>
  <c r="W9" i="16"/>
  <c r="Y13" i="16"/>
  <c r="W6" i="16"/>
  <c r="Y6" i="16"/>
  <c r="Y10" i="16"/>
  <c r="R14" i="16"/>
  <c r="S8" i="16"/>
  <c r="S7" i="16"/>
  <c r="S10" i="16"/>
  <c r="R7" i="16"/>
  <c r="O7" i="16"/>
  <c r="Y11" i="16"/>
  <c r="O15" i="16"/>
  <c r="T15" i="16"/>
  <c r="T8" i="16"/>
  <c r="R8" i="16"/>
  <c r="Y12" i="16"/>
  <c r="O12" i="16"/>
  <c r="T16" i="16"/>
  <c r="S5" i="16"/>
  <c r="R9" i="16"/>
  <c r="Y9" i="16"/>
  <c r="R13" i="16"/>
  <c r="O6" i="16"/>
  <c r="R10" i="16"/>
  <c r="T14" i="16"/>
  <c r="O14" i="16"/>
  <c r="S16" i="16"/>
  <c r="S15" i="16"/>
  <c r="S14" i="16"/>
  <c r="T7" i="16"/>
  <c r="Y7" i="16"/>
  <c r="W11" i="16"/>
  <c r="R11" i="16"/>
  <c r="X11" i="16"/>
  <c r="R15" i="16"/>
  <c r="W15" i="16"/>
  <c r="X8" i="16"/>
  <c r="X12" i="16"/>
  <c r="Y16" i="16"/>
  <c r="R5" i="16"/>
  <c r="X5" i="16"/>
  <c r="O9" i="16"/>
  <c r="T13" i="16"/>
  <c r="R6" i="16"/>
  <c r="X10" i="16"/>
  <c r="W10" i="16"/>
  <c r="Y14" i="16"/>
  <c r="W14" i="16"/>
  <c r="X14" i="16"/>
  <c r="S9" i="16"/>
  <c r="S12" i="16"/>
  <c r="S13" i="16"/>
  <c r="N5" i="4"/>
  <c r="N4" i="4" s="1"/>
  <c r="BF8" i="6" s="1"/>
  <c r="N6" i="5"/>
  <c r="N5" i="5" s="1"/>
  <c r="BF9" i="6" l="1"/>
  <c r="AM9" i="7"/>
  <c r="AM8" i="7"/>
  <c r="AM7" i="7"/>
  <c r="BF7" i="6"/>
  <c r="DC9" i="2"/>
  <c r="DC7" i="2"/>
  <c r="DC8" i="2"/>
  <c r="DD9" i="2"/>
  <c r="DD7" i="2"/>
  <c r="DD8" i="2"/>
  <c r="Y18" i="16"/>
  <c r="U5" i="16"/>
  <c r="R40" i="4"/>
  <c r="Y40" i="4"/>
  <c r="Z40" i="4" s="1"/>
  <c r="AG40" i="4" s="1"/>
  <c r="AF29" i="4"/>
  <c r="AE40" i="5"/>
  <c r="AE39" i="5" s="1"/>
  <c r="X40" i="5"/>
  <c r="X39" i="5" s="1"/>
  <c r="X258" i="5"/>
  <c r="AE258" i="5"/>
  <c r="AE32" i="5"/>
  <c r="X32" i="5"/>
  <c r="X30" i="5"/>
  <c r="AE30" i="5"/>
  <c r="X243" i="5"/>
  <c r="AE243" i="5"/>
  <c r="AE24" i="5"/>
  <c r="X24" i="5"/>
  <c r="X75" i="5"/>
  <c r="X74" i="5" s="1"/>
  <c r="AE75" i="5"/>
  <c r="AE74" i="5" s="1"/>
  <c r="X46" i="5"/>
  <c r="AE46" i="5"/>
  <c r="AE121" i="5"/>
  <c r="X121" i="5"/>
  <c r="Y41" i="4"/>
  <c r="Z41" i="4" s="1"/>
  <c r="AG41" i="4" s="1"/>
  <c r="R41" i="4"/>
  <c r="X124" i="5"/>
  <c r="X72" i="5"/>
  <c r="AE72" i="5"/>
  <c r="AE124" i="5"/>
  <c r="AE130" i="5"/>
  <c r="AE135" i="5"/>
  <c r="X130" i="5"/>
  <c r="X135" i="5"/>
  <c r="R29" i="4"/>
  <c r="X60" i="5"/>
  <c r="AE33" i="5"/>
  <c r="X33" i="5"/>
  <c r="AE47" i="5"/>
  <c r="X47" i="5"/>
  <c r="X62" i="5"/>
  <c r="AE37" i="5"/>
  <c r="AE36" i="5" s="1"/>
  <c r="X37" i="5"/>
  <c r="X36" i="5" s="1"/>
  <c r="X38" i="5"/>
  <c r="AE38" i="5"/>
  <c r="X50" i="5"/>
  <c r="AE50" i="5"/>
  <c r="AC36" i="4"/>
  <c r="R51" i="4"/>
  <c r="Y51" i="4"/>
  <c r="Z51" i="4" s="1"/>
  <c r="Y43" i="4"/>
  <c r="Z43" i="4" s="1"/>
  <c r="AG43" i="4" s="1"/>
  <c r="R43" i="4"/>
  <c r="X54" i="5" l="1"/>
  <c r="AF57" i="4"/>
  <c r="X29" i="4"/>
  <c r="R16" i="4"/>
  <c r="Y16" i="4"/>
  <c r="Z16" i="4" s="1"/>
  <c r="AG16" i="4" s="1"/>
  <c r="X54" i="4"/>
  <c r="R54" i="4"/>
  <c r="AC64" i="4"/>
  <c r="Y42" i="4"/>
  <c r="Z42" i="4" s="1"/>
  <c r="AG42" i="4" s="1"/>
  <c r="R42" i="4"/>
  <c r="Y14" i="4"/>
  <c r="Z14" i="4" s="1"/>
  <c r="AG14" i="4" s="1"/>
  <c r="R14" i="4"/>
  <c r="R15" i="4"/>
  <c r="Y15" i="4"/>
  <c r="Z15" i="4" s="1"/>
  <c r="AG15" i="4" s="1"/>
  <c r="R13" i="4"/>
  <c r="AG106" i="4"/>
  <c r="R53" i="4"/>
  <c r="R26" i="4"/>
  <c r="X53" i="4"/>
  <c r="AG102" i="4"/>
  <c r="X26" i="4"/>
  <c r="S18" i="16"/>
  <c r="B4" i="7" l="1"/>
  <c r="L36" i="4"/>
  <c r="J6" i="16" l="1"/>
  <c r="J16" i="16"/>
  <c r="J9" i="16"/>
  <c r="J8" i="16"/>
  <c r="J12" i="16"/>
  <c r="H18" i="16"/>
  <c r="J10" i="16"/>
  <c r="J11" i="16"/>
  <c r="J14" i="16"/>
  <c r="J5" i="16"/>
  <c r="J13" i="16"/>
  <c r="J7" i="16"/>
  <c r="J15" i="16"/>
  <c r="M14" i="16"/>
  <c r="L13" i="16"/>
  <c r="AG13" i="16" s="1"/>
  <c r="M10" i="16"/>
  <c r="L9" i="16"/>
  <c r="AG9" i="16" s="1"/>
  <c r="M6" i="16"/>
  <c r="L5" i="16"/>
  <c r="M9" i="16"/>
  <c r="M15" i="16"/>
  <c r="L14" i="16"/>
  <c r="AG14" i="16" s="1"/>
  <c r="M11" i="16"/>
  <c r="L10" i="16"/>
  <c r="M7" i="16"/>
  <c r="L6" i="16"/>
  <c r="AG6" i="16" s="1"/>
  <c r="L16" i="16"/>
  <c r="M13" i="16"/>
  <c r="L12" i="16"/>
  <c r="AG12" i="16" s="1"/>
  <c r="M16" i="16"/>
  <c r="L15" i="16"/>
  <c r="AG15" i="16" s="1"/>
  <c r="M12" i="16"/>
  <c r="L11" i="16"/>
  <c r="AG11" i="16" s="1"/>
  <c r="M8" i="16"/>
  <c r="L7" i="16"/>
  <c r="AG7" i="16" s="1"/>
  <c r="L8" i="16"/>
  <c r="AG8" i="16" s="1"/>
  <c r="M5" i="16"/>
  <c r="R19" i="4"/>
  <c r="Y13" i="4"/>
  <c r="X28" i="4" s="1"/>
  <c r="AF28" i="4" s="1"/>
  <c r="Y19" i="4"/>
  <c r="J18" i="16" l="1"/>
  <c r="AG10" i="16"/>
  <c r="AG16" i="16"/>
  <c r="M18" i="16"/>
  <c r="I18" i="16"/>
  <c r="AG5" i="16"/>
  <c r="L18" i="16"/>
  <c r="F18" i="16"/>
  <c r="Z19" i="4"/>
  <c r="Z13" i="4"/>
  <c r="AG13" i="4" l="1"/>
  <c r="M55" i="16"/>
  <c r="M60" i="16" s="1"/>
  <c r="AG75" i="4"/>
  <c r="AG18" i="16"/>
  <c r="AG25" i="4" l="1"/>
  <c r="L34" i="4" s="1"/>
  <c r="AE207" i="5" l="1"/>
  <c r="X207" i="5"/>
  <c r="X150" i="5"/>
  <c r="AE150" i="5"/>
  <c r="AE223" i="5"/>
  <c r="X129" i="5"/>
  <c r="AE166" i="5"/>
  <c r="AE284" i="5"/>
  <c r="AE129" i="5"/>
  <c r="X284" i="5"/>
  <c r="AE279" i="5" l="1"/>
  <c r="X170" i="5"/>
  <c r="AE225" i="5"/>
  <c r="X166" i="5"/>
  <c r="X168" i="5"/>
  <c r="AE131" i="5"/>
  <c r="X225" i="5"/>
  <c r="X279" i="5"/>
  <c r="X223" i="5"/>
  <c r="AE170" i="5"/>
  <c r="X281" i="5"/>
  <c r="X227" i="5"/>
  <c r="AE168" i="5"/>
  <c r="AE281" i="5"/>
  <c r="X131" i="5"/>
  <c r="AE227" i="5"/>
  <c r="AE209" i="5"/>
  <c r="X209" i="5"/>
  <c r="AE264" i="5"/>
  <c r="X264" i="5"/>
  <c r="X152" i="5"/>
  <c r="AE152" i="5"/>
  <c r="X123" i="5"/>
  <c r="AE123" i="5"/>
  <c r="AC63" i="4" l="1"/>
  <c r="L63" i="4" s="1"/>
  <c r="AL9" i="16"/>
  <c r="AL8" i="16"/>
  <c r="AQ12" i="16"/>
  <c r="AQ10" i="16"/>
  <c r="AL6" i="16"/>
  <c r="AQ9" i="16"/>
  <c r="U14" i="16"/>
  <c r="U9" i="16"/>
  <c r="AQ6" i="16"/>
  <c r="AL14" i="16"/>
  <c r="AQ5" i="16"/>
  <c r="U10" i="16"/>
  <c r="U7" i="16"/>
  <c r="U6" i="16"/>
  <c r="AL11" i="16"/>
  <c r="U16" i="16"/>
  <c r="AQ13" i="16"/>
  <c r="AL7" i="16"/>
  <c r="AL13" i="16"/>
  <c r="U15" i="16"/>
  <c r="AL12" i="16"/>
  <c r="U8" i="16"/>
  <c r="AQ15" i="16"/>
  <c r="AQ14" i="16"/>
  <c r="AQ8" i="16"/>
  <c r="AL15" i="16"/>
  <c r="U12" i="16"/>
  <c r="U13" i="16"/>
  <c r="U11" i="16"/>
  <c r="AQ11" i="16"/>
  <c r="AQ7" i="16"/>
  <c r="AG98" i="4"/>
  <c r="AG100" i="4"/>
  <c r="AG97" i="4"/>
  <c r="R39" i="4"/>
  <c r="Y50" i="4"/>
  <c r="Y39" i="4"/>
  <c r="X56" i="4" s="1"/>
  <c r="AF56" i="4" s="1"/>
  <c r="AG101" i="4"/>
  <c r="R50" i="4"/>
  <c r="AG99" i="4"/>
  <c r="AG78" i="4"/>
  <c r="Q11" i="16" l="1"/>
  <c r="AL10" i="16"/>
  <c r="AL16" i="16"/>
  <c r="Q10" i="16"/>
  <c r="Q8" i="16"/>
  <c r="Q6" i="16"/>
  <c r="Q16" i="16"/>
  <c r="Q9" i="16"/>
  <c r="P18" i="16"/>
  <c r="Q7" i="16"/>
  <c r="O18" i="16"/>
  <c r="Q5" i="16"/>
  <c r="G10" i="16"/>
  <c r="G7" i="16"/>
  <c r="K7" i="16" s="1"/>
  <c r="G12" i="16"/>
  <c r="K12" i="16" s="1"/>
  <c r="G6" i="16"/>
  <c r="K6" i="16" s="1"/>
  <c r="G8" i="16"/>
  <c r="G15" i="16"/>
  <c r="G14" i="16"/>
  <c r="K14" i="16" s="1"/>
  <c r="G13" i="16"/>
  <c r="K13" i="16" s="1"/>
  <c r="G11" i="16"/>
  <c r="K11" i="16" s="1"/>
  <c r="G16" i="16"/>
  <c r="K16" i="16" s="1"/>
  <c r="R18" i="16"/>
  <c r="W18" i="16"/>
  <c r="AL5" i="16"/>
  <c r="Q15" i="16"/>
  <c r="Q13" i="16"/>
  <c r="Q14" i="16"/>
  <c r="Q12" i="16"/>
  <c r="T18" i="16"/>
  <c r="AG103" i="4"/>
  <c r="AG107" i="4" s="1"/>
  <c r="Y24" i="4"/>
  <c r="Z24" i="4" s="1"/>
  <c r="R24" i="4"/>
  <c r="Y23" i="4"/>
  <c r="R23" i="4"/>
  <c r="Z39" i="4"/>
  <c r="Z50" i="4"/>
  <c r="X55" i="4"/>
  <c r="R52" i="4"/>
  <c r="K10" i="16" l="1"/>
  <c r="AA10" i="16"/>
  <c r="K8" i="16"/>
  <c r="AA8" i="16"/>
  <c r="AB8" i="16" s="1"/>
  <c r="AG39" i="4"/>
  <c r="K15" i="16"/>
  <c r="AA15" i="16"/>
  <c r="AB15" i="16" s="1"/>
  <c r="AB13" i="16"/>
  <c r="AB12" i="16"/>
  <c r="AB11" i="16"/>
  <c r="V11" i="16"/>
  <c r="AB14" i="16"/>
  <c r="AB7" i="16"/>
  <c r="AB6" i="16"/>
  <c r="AL18" i="16"/>
  <c r="V13" i="16"/>
  <c r="V10" i="16"/>
  <c r="V8" i="16"/>
  <c r="V15" i="16"/>
  <c r="V16" i="16"/>
  <c r="V12" i="16"/>
  <c r="V9" i="16"/>
  <c r="R25" i="4"/>
  <c r="V7" i="16"/>
  <c r="V6" i="16"/>
  <c r="G5" i="16"/>
  <c r="AA5" i="16" s="1"/>
  <c r="V14" i="16"/>
  <c r="V5" i="16"/>
  <c r="Q18" i="16"/>
  <c r="U18" i="16"/>
  <c r="Z23" i="4"/>
  <c r="Z25" i="4" s="1"/>
  <c r="AF59" i="4" s="1"/>
  <c r="X27" i="4"/>
  <c r="Z52" i="4"/>
  <c r="Y52" i="4" s="1"/>
  <c r="AG60" i="4" l="1"/>
  <c r="AG61" i="4" s="1"/>
  <c r="AB10" i="16"/>
  <c r="AD10" i="16" s="1"/>
  <c r="K5" i="16"/>
  <c r="L55" i="16"/>
  <c r="L60" i="16" s="1"/>
  <c r="AD13" i="16"/>
  <c r="AC13" i="16"/>
  <c r="AD15" i="16"/>
  <c r="AC15" i="16"/>
  <c r="AD12" i="16"/>
  <c r="AC12" i="16"/>
  <c r="AD11" i="16"/>
  <c r="AC11" i="16"/>
  <c r="AB5" i="16"/>
  <c r="AB16" i="16"/>
  <c r="AD14" i="16"/>
  <c r="AC14" i="16"/>
  <c r="AD8" i="16"/>
  <c r="AC8" i="16"/>
  <c r="AD7" i="16"/>
  <c r="AC7" i="16"/>
  <c r="AC6" i="16"/>
  <c r="AD6" i="16"/>
  <c r="AG52" i="4"/>
  <c r="V18" i="16"/>
  <c r="Y25" i="4"/>
  <c r="AC10" i="16" l="1"/>
  <c r="AD5" i="16"/>
  <c r="AC5" i="16"/>
  <c r="AD16" i="16"/>
  <c r="AC16" i="16"/>
  <c r="AI5" i="16" l="1"/>
  <c r="AH5" i="16"/>
  <c r="AE6" i="16" l="1"/>
  <c r="AF6" i="16"/>
  <c r="AI6" i="16" l="1"/>
  <c r="AF7" i="16" s="1"/>
  <c r="AH6" i="16"/>
  <c r="AE7" i="16" s="1"/>
  <c r="AH7" i="16" l="1"/>
  <c r="AE8" i="16" s="1"/>
  <c r="AI7" i="16"/>
  <c r="AF8" i="16" s="1"/>
  <c r="AI8" i="16" l="1"/>
  <c r="AF9" i="16" s="1"/>
  <c r="AH8" i="16"/>
  <c r="AE9" i="16" s="1"/>
  <c r="X18" i="16" l="1"/>
  <c r="AQ16" i="16"/>
  <c r="AQ18" i="16" s="1"/>
  <c r="X349" i="5"/>
  <c r="I349" i="5"/>
  <c r="X348" i="5"/>
  <c r="G348" i="5"/>
  <c r="AE269" i="5"/>
  <c r="X269" i="5"/>
  <c r="AE139" i="5"/>
  <c r="X139" i="5"/>
  <c r="P12" i="5"/>
  <c r="B12" i="5"/>
  <c r="A1" i="3"/>
  <c r="A1" i="6"/>
  <c r="A1" i="7"/>
  <c r="A1" i="8"/>
  <c r="AE87" i="5" l="1"/>
  <c r="X45" i="5"/>
  <c r="AE45" i="5"/>
  <c r="X156" i="5"/>
  <c r="AE156" i="5"/>
  <c r="X160" i="5"/>
  <c r="AE162" i="5"/>
  <c r="X162" i="5"/>
  <c r="AE164" i="5"/>
  <c r="X164" i="5"/>
  <c r="AE172" i="5"/>
  <c r="X172" i="5"/>
  <c r="AE174" i="5"/>
  <c r="X174" i="5"/>
  <c r="AE176" i="5"/>
  <c r="X176" i="5"/>
  <c r="X205" i="5"/>
  <c r="AE213" i="5"/>
  <c r="X217" i="5"/>
  <c r="X219" i="5"/>
  <c r="AE219" i="5"/>
  <c r="X221" i="5"/>
  <c r="AE221" i="5"/>
  <c r="X229" i="5"/>
  <c r="AE229" i="5"/>
  <c r="X231" i="5"/>
  <c r="AE231" i="5"/>
  <c r="X233" i="5"/>
  <c r="AE233" i="5"/>
  <c r="X262" i="5"/>
  <c r="X273" i="5"/>
  <c r="AE273" i="5"/>
  <c r="X275" i="5"/>
  <c r="AE275" i="5"/>
  <c r="X277" i="5"/>
  <c r="AE277" i="5"/>
  <c r="X286" i="5"/>
  <c r="AE286" i="5"/>
  <c r="X288" i="5"/>
  <c r="AE288" i="5"/>
  <c r="X290" i="5"/>
  <c r="AE290" i="5"/>
  <c r="AE326" i="5"/>
  <c r="A1" i="2"/>
  <c r="AE23" i="5" l="1"/>
  <c r="X292" i="5"/>
  <c r="X235" i="5"/>
  <c r="X213" i="5"/>
  <c r="AE49" i="5"/>
  <c r="X87" i="5"/>
  <c r="X23" i="5"/>
  <c r="X148" i="5" s="1"/>
  <c r="AE235" i="5"/>
  <c r="X53" i="5"/>
  <c r="X319" i="5"/>
  <c r="AE292" i="5"/>
  <c r="X49" i="5"/>
  <c r="X137" i="5"/>
  <c r="X178" i="5"/>
  <c r="AE178" i="5"/>
  <c r="AE148" i="5" l="1"/>
  <c r="AE322" i="5"/>
  <c r="X322" i="5"/>
  <c r="AE324" i="5" l="1"/>
  <c r="AE333" i="5" l="1"/>
  <c r="AE336" i="5" s="1"/>
  <c r="AE337" i="5" s="1"/>
  <c r="AK5" i="16" l="1"/>
  <c r="AM5" i="16" l="1"/>
  <c r="AK6" i="16" l="1"/>
  <c r="AM6" i="16" l="1"/>
  <c r="AK7" i="16" l="1"/>
  <c r="AM7" i="16" l="1"/>
  <c r="AK8" i="16" l="1"/>
  <c r="AM8" i="16" l="1"/>
  <c r="B64" i="21" l="1"/>
  <c r="B45" i="21"/>
  <c r="B46" i="21"/>
  <c r="AO18" i="16" l="1"/>
  <c r="AP18" i="16"/>
  <c r="Y5" i="6"/>
  <c r="AO5" i="6"/>
  <c r="E9" i="16"/>
  <c r="E18" i="16" s="1"/>
  <c r="G9" i="16" l="1"/>
  <c r="AA9" i="16" s="1"/>
  <c r="AB9" i="16" s="1"/>
  <c r="AD9" i="16" l="1"/>
  <c r="AD18" i="16" s="1"/>
  <c r="AC9" i="16"/>
  <c r="AB18" i="16"/>
  <c r="G18" i="16"/>
  <c r="K55" i="16" s="1"/>
  <c r="K60" i="16" s="1"/>
  <c r="K61" i="16" s="1"/>
  <c r="K9" i="16"/>
  <c r="K18" i="16" s="1"/>
  <c r="AC18" i="16" l="1"/>
  <c r="AI9" i="16"/>
  <c r="AF10" i="16" s="1"/>
  <c r="AH9" i="16"/>
  <c r="AE10" i="16" s="1"/>
  <c r="AK9" i="16"/>
  <c r="AM9" i="16" l="1"/>
  <c r="AI10" i="16"/>
  <c r="AF11" i="16" s="1"/>
  <c r="AK10" i="16"/>
  <c r="AM10" i="16" s="1"/>
  <c r="AH10" i="16"/>
  <c r="AE11" i="16" s="1"/>
  <c r="AH11" i="16" l="1"/>
  <c r="AE12" i="16" s="1"/>
  <c r="AI11" i="16"/>
  <c r="AF12" i="16" s="1"/>
  <c r="AK11" i="16"/>
  <c r="AM11" i="16" s="1"/>
  <c r="AI12" i="16" l="1"/>
  <c r="AF13" i="16" s="1"/>
  <c r="AH12" i="16"/>
  <c r="AE13" i="16" s="1"/>
  <c r="AK12" i="16"/>
  <c r="AM12" i="16" s="1"/>
  <c r="AI13" i="16" l="1"/>
  <c r="AF14" i="16" s="1"/>
  <c r="AH13" i="16"/>
  <c r="AE14" i="16" s="1"/>
  <c r="AK13" i="16"/>
  <c r="AI14" i="16" l="1"/>
  <c r="AF15" i="16" s="1"/>
  <c r="AH14" i="16"/>
  <c r="AE15" i="16" s="1"/>
  <c r="AK14" i="16"/>
  <c r="AM14" i="16" s="1"/>
  <c r="AM13" i="16"/>
  <c r="AI15" i="16" l="1"/>
  <c r="AF16" i="16" s="1"/>
  <c r="AH15" i="16"/>
  <c r="AE16" i="16" s="1"/>
  <c r="AK15" i="16"/>
  <c r="AM15" i="16" s="1"/>
  <c r="AG71" i="4" l="1"/>
  <c r="AH16" i="16"/>
  <c r="AH18" i="16" s="1"/>
  <c r="AK16" i="16"/>
  <c r="AI16" i="16"/>
  <c r="AI18" i="16" s="1"/>
  <c r="AE18" i="16"/>
  <c r="AG72" i="4"/>
  <c r="AF18" i="16"/>
  <c r="AM16" i="16" l="1"/>
  <c r="AM18" i="16" s="1"/>
  <c r="AK18" i="16"/>
  <c r="B34" i="4"/>
  <c r="W34" i="4" s="1"/>
  <c r="AH34" i="4" l="1"/>
  <c r="AC34" i="4"/>
  <c r="AG67" i="4" l="1"/>
  <c r="AG68" i="4"/>
  <c r="AG85" i="4" l="1"/>
  <c r="AG82" i="4"/>
  <c r="AG83" i="4"/>
  <c r="AG87" i="4"/>
  <c r="AG89" i="4" s="1"/>
  <c r="AG109" i="4" s="1"/>
  <c r="AI118" i="4" s="1"/>
  <c r="AI121" i="4" s="1"/>
  <c r="AI122" i="4"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LOURDES</author>
  </authors>
  <commentList>
    <comment ref="AH7" authorId="0" shapeId="0" xr:uid="{43A1C7A8-380A-43CB-8E98-4ECE217E5BBB}">
      <text>
        <r>
          <rPr>
            <b/>
            <sz val="9"/>
            <color indexed="81"/>
            <rFont val="Tahoma"/>
            <family val="2"/>
          </rPr>
          <t>Casilla 203 Decreto ejecutivo que determina el porcentaje de tarifa reducida de IVA
en la prestación de servicios definidos como actividades turísticas.</t>
        </r>
        <r>
          <rPr>
            <sz val="9"/>
            <color indexed="81"/>
            <rFont val="Tahoma"/>
            <family val="2"/>
          </rPr>
          <t xml:space="preserve">
Esta casilla debe ser utilizada únicamente por los sujetos y sus establecimientos que
consten en el catastro nacional de establecimientos que cuenten con el Registro de
Turismo publicado en el portal web institucional del Ministerio de Turismo, autorizados
para la aplicación de las tarifas respectivas en las fechas establecidas, debiendo
seleccionar el porcentaje de tarifa reducida de IVA que se establezca mediante Decreto
Ejecutivo, en la prestación de servicios definidos como actividades turísticas conforme lo
establece la Disposición General Tercera de la Ley Orgánica para el Desarrollo
Económico y Sostenibilidad Fiscal tras la pandemia COVID 19, Resolución No. NACDGERCGC22-00000011, 
publicada en el Tercer Suplemento del Registro Oficial No. 7 de 21 de febrero de 2022 y demás normativa vigente. 
Únicamente cuando, dentro de un mismo período semestral o mensual sean aplicables disposiciones de varios 
decretos que hubieren establecido la reducción de la tarifa de IVA dentro del mismo período fiscal,
se podrá utilizar la opción “XXXX”.</t>
        </r>
      </text>
    </comment>
  </commentList>
</comments>
</file>

<file path=xl/sharedStrings.xml><?xml version="1.0" encoding="utf-8"?>
<sst xmlns="http://schemas.openxmlformats.org/spreadsheetml/2006/main" count="5672" uniqueCount="2441">
  <si>
    <t>Descripcion</t>
  </si>
  <si>
    <t>No. de RUC</t>
  </si>
  <si>
    <t>&lt;== modificar por sus datos</t>
  </si>
  <si>
    <t>Razon Social</t>
  </si>
  <si>
    <t>Representante Legal</t>
  </si>
  <si>
    <t>Cedula Rep. Legal</t>
  </si>
  <si>
    <t>Nombre Contador</t>
  </si>
  <si>
    <t>RUC del Contador</t>
  </si>
  <si>
    <t>001</t>
  </si>
  <si>
    <t>&lt;== NO MODIFICAR</t>
  </si>
  <si>
    <t>&lt;== cambie por su email</t>
  </si>
  <si>
    <t>Tipos de Comprobantes para Exportaciones</t>
  </si>
  <si>
    <t>04-Nota de credito</t>
  </si>
  <si>
    <t>05-Nota de debito</t>
  </si>
  <si>
    <t>16-Formulario Único de Exportación (FUE) o Declaración Aduanera Única (DAU) o Declaración Andina de Valor (DAV)</t>
  </si>
  <si>
    <t>41-Comprobante de venta emitido por reembolso</t>
  </si>
  <si>
    <t>47-Nota de Crédito por Reembolso Emitida por Intermediario</t>
  </si>
  <si>
    <t>48-Nota de Débito por Reembolso Emitida por Intermediario</t>
  </si>
  <si>
    <t>Tipos de Comprobantes para Ventas</t>
  </si>
  <si>
    <t>18-Documentos autorizados utilizados en ventas excepto N/C N/D</t>
  </si>
  <si>
    <t>44-Comprobante de Contribuciones y Aportes</t>
  </si>
  <si>
    <t>49-Proveedor Directo de Exportador Bajo Régimen Especial</t>
  </si>
  <si>
    <t>50-A Inst. Estado y Empr. Públicas que percibe ingreso exento de Imp. Renta</t>
  </si>
  <si>
    <t>51-N/C A Inst. Estado y Empr. Públicas que percibe ingreso exento de Imp. Renta</t>
  </si>
  <si>
    <t>52-N/D A Inst. Estado y Empr. Públicas que percibe ingreso exento de Imp. Renta</t>
  </si>
  <si>
    <t>Tipos de Comprobantes para Compras</t>
  </si>
  <si>
    <t>06-Guias de Remision</t>
  </si>
  <si>
    <t>07-Comprobante de Retención</t>
  </si>
  <si>
    <t>08-Boletos o entradas a espectáculos públicos</t>
  </si>
  <si>
    <t>09-Tiquetes o vales emitidos por máquinas registradoras</t>
  </si>
  <si>
    <t>11-Pasajes expedidos por empresas de aviación</t>
  </si>
  <si>
    <t>12-Documentos emitidos por instituciones financieras</t>
  </si>
  <si>
    <t>15-Comprobante de venta emitido en el Exterior</t>
  </si>
  <si>
    <t>19-Comprobantes de Pago de Cuotas o Aportes</t>
  </si>
  <si>
    <t>20-Documentos por Servicios Administrativos emitidos por Inst. del Estado</t>
  </si>
  <si>
    <t>21-Carta de Porte Aéreo</t>
  </si>
  <si>
    <t>22-RECAP</t>
  </si>
  <si>
    <t>43-Liquidacion para Explotacion y Exploracion de Hidrocarburos</t>
  </si>
  <si>
    <t>45-Liquidación por reclamos de aseguradoras</t>
  </si>
  <si>
    <t>294-Liquidación de compra de Bienes Muebles Usados</t>
  </si>
  <si>
    <t xml:space="preserve">344-Liquidación de compra de vehículos usados </t>
  </si>
  <si>
    <t>Tipos de Sustentos Tributarios</t>
  </si>
  <si>
    <t>00- Casos especiales cuyo sustento no aplica en las opciones anteriores</t>
  </si>
  <si>
    <t>01- Crédito Tributario para declaración de IVA (servicios y bienes distintos de inventarios y activos fijos)</t>
  </si>
  <si>
    <t>02- Costo o Gasto para declaración de IR (servicios y bienes distintos de inventarios y activos fijos)</t>
  </si>
  <si>
    <t>03- Activo Fijo - Crédito Tributario para declaración de IVA</t>
  </si>
  <si>
    <t>04- Activo Fijo - Costo o Gasto para declaración de IR</t>
  </si>
  <si>
    <t>05- Liquidación Gastos de Viaje, hospedaje y alimentación Gastos IR (a nombre de empleados y no de la empresa)</t>
  </si>
  <si>
    <t>06- Inventario - Crédito Tributario para declaración de IVA</t>
  </si>
  <si>
    <t>07- Inventario - Costo o Gasto para declaración de IR</t>
  </si>
  <si>
    <t>08- Valor pagado para solicitar Reembolso de Gasto (intermediario)</t>
  </si>
  <si>
    <t>09- Reembolso por Siniestros</t>
  </si>
  <si>
    <t>10-Distribución de Dividendos, Beneficios o Utilidades</t>
  </si>
  <si>
    <t>11-Convenios de Debito o Recaudacion para IFI's</t>
  </si>
  <si>
    <t>12-Impuestos y retenciones presuntivos</t>
  </si>
  <si>
    <t>13-Valores reconocidos por entidades del sector publico a favor de sujetos pasivos</t>
  </si>
  <si>
    <t>Formas de Pagos</t>
  </si>
  <si>
    <t>01-SIN UTILIZACION DEL SISTEMA FINANCIERO</t>
  </si>
  <si>
    <t>02-CHEQUE PROPIO (max.hasta agosto 2016)</t>
  </si>
  <si>
    <t>03-CHEQUE CERTIFICADO (max.hasta agosto 2016)</t>
  </si>
  <si>
    <t>04-CHEQUE DE GERENCIA (max.hasta agosto 2016)</t>
  </si>
  <si>
    <t>05-CHEQUE DEL EXTERIOR (max.hasta agosto 2016)</t>
  </si>
  <si>
    <t>06-DÈBITO DE CUENTA (max.hasta agosto 2016)</t>
  </si>
  <si>
    <t>07-TRANSFERENCIA PROPIO BANCO (max.hasta agosto 2016)</t>
  </si>
  <si>
    <t>08-TRANSFERENCIA OTRO BANCO NACIONAL (max.hasta agosto 2016)</t>
  </si>
  <si>
    <t>09-TRANSFERENCIA  BANCO EXTERIOR (max.hasta agosto 2016)</t>
  </si>
  <si>
    <t>10-TARJETA DE CRÈDITO NACIONAL (max.hasta agosto 2016)</t>
  </si>
  <si>
    <t>11-TARJETA DE CRÈDITO INTERNACIONAL (max.hasta agosto 2016)</t>
  </si>
  <si>
    <t>12-GIRO (max.hasta agosto 2016)</t>
  </si>
  <si>
    <t>13-DEPOSITO EN CUENTA (CORRIENTE/AHORROS) (max.hasta agosto 2016)</t>
  </si>
  <si>
    <t>14-ENDOSO DE INVERSIÒN (max.hasta agosto 2016)</t>
  </si>
  <si>
    <t>15-COMPENSACIÓN DE DEUDAS</t>
  </si>
  <si>
    <t>16-TARJETA DE DÉBITO</t>
  </si>
  <si>
    <t>17-DINERO ELECTRÓNICO</t>
  </si>
  <si>
    <t>18-TARJETA PREPAGO</t>
  </si>
  <si>
    <t>19-TARJETA DE CRÉDITO</t>
  </si>
  <si>
    <t>20-OTROS CON UTILIZACION DEL SISTEMA FINANCIERO</t>
  </si>
  <si>
    <t>21-ENDOSO DE TÍTULOS</t>
  </si>
  <si>
    <t>Tipos de Retenciones</t>
  </si>
  <si>
    <t>Descripción</t>
  </si>
  <si>
    <t>Honorarios profesionales y demás pagos por servicios relacionados con el título profesional</t>
  </si>
  <si>
    <t>Servicios predomina el intelecto no relacionados con el título profesional</t>
  </si>
  <si>
    <t>304A</t>
  </si>
  <si>
    <t>Comisiones y demás pagos por servicios predomina intelecto no relacionados con el título profesional</t>
  </si>
  <si>
    <t>304B</t>
  </si>
  <si>
    <t>Pagos a notarios y registradores de la propiedad y mercantil por sus actividades ejercidas como tales</t>
  </si>
  <si>
    <t>304C</t>
  </si>
  <si>
    <t>Pagos a deportistas, entrenadores, árbitros, miembros del cuerpo técnico por sus actividades ejercidas como tales</t>
  </si>
  <si>
    <t>304D</t>
  </si>
  <si>
    <t>Pagos a artistas por sus actividades ejercidas como tales</t>
  </si>
  <si>
    <t>304E</t>
  </si>
  <si>
    <t>Honorarios y demás pagos por servicios de docencia</t>
  </si>
  <si>
    <t>Servicios predomina la mano de obra</t>
  </si>
  <si>
    <t>Servicios prestados por medios de comunicación y agencias de publicidad</t>
  </si>
  <si>
    <t>Servicio de transporte privado de pasajeros o transporte público o privado de carga</t>
  </si>
  <si>
    <t>Transferencia de bienes muebles de naturaleza corporal</t>
  </si>
  <si>
    <t>312A</t>
  </si>
  <si>
    <t>314A</t>
  </si>
  <si>
    <t>Regalías por concepto de franquicias de acuerdo a Ley de Propiedad Intelectual - pago a personas naturales</t>
  </si>
  <si>
    <t>314B</t>
  </si>
  <si>
    <t>Cánones, derechos de autor,  marcas, patentes y similares de acuerdo a Ley de Propiedad Intelectual – pago a personas naturales</t>
  </si>
  <si>
    <t>314C</t>
  </si>
  <si>
    <t>Regalías por concepto de franquicias de acuerdo a Ley de Propiedad Intelectual  - pago a sociedades</t>
  </si>
  <si>
    <t>314D</t>
  </si>
  <si>
    <t>Cánones, derechos de autor,  marcas, patentes y similares de acuerdo a Ley de Propiedad Intelectual – pago a sociedades</t>
  </si>
  <si>
    <t>Seguros y reaseguros (primas y cesiones)</t>
  </si>
  <si>
    <t>Por rendimientos financieros pagados a naturales y sociedades  (No a IFIs)</t>
  </si>
  <si>
    <t>323A</t>
  </si>
  <si>
    <t>Por RF: depósitos Cta. Corriente</t>
  </si>
  <si>
    <t>323B1</t>
  </si>
  <si>
    <t>Por RF:  depósitos Cta. Ahorros Sociedades</t>
  </si>
  <si>
    <t>323E</t>
  </si>
  <si>
    <t>Por RF: depósito a plazo fijo  gravados</t>
  </si>
  <si>
    <t>323E2</t>
  </si>
  <si>
    <t>Por RF: depósito a plazo fijo exentos</t>
  </si>
  <si>
    <t>323F</t>
  </si>
  <si>
    <t>Por rendimientos financieros: operaciones de reporto - repos</t>
  </si>
  <si>
    <t>323G</t>
  </si>
  <si>
    <t>Por RF: inversiones (captaciones) rendimientos distintos de aquellos pagados a IFIs</t>
  </si>
  <si>
    <t>323H</t>
  </si>
  <si>
    <t>Por RF: obligaciones</t>
  </si>
  <si>
    <t>323I</t>
  </si>
  <si>
    <t>Por RF: bonos convertible en acciones</t>
  </si>
  <si>
    <t>323M</t>
  </si>
  <si>
    <t xml:space="preserve">Por RF: Inversiones en títulos valores en renta fija gravados </t>
  </si>
  <si>
    <t>323N</t>
  </si>
  <si>
    <t>Por RF: Inversiones en títulos valores en renta fija exentos</t>
  </si>
  <si>
    <t>323O</t>
  </si>
  <si>
    <t>Por RF: Intereses pagados a bancos y otras entidades sometidas al control de la Superintendencia de Bancos y de la Economía Popular y Solidaria</t>
  </si>
  <si>
    <t>323P</t>
  </si>
  <si>
    <t>Por RF: Intereses pagados por entidades del sector público a favor de sujetos pasivos</t>
  </si>
  <si>
    <t>323Q</t>
  </si>
  <si>
    <t xml:space="preserve">Por RF: Otros intereses y rendimientos financieros gravados </t>
  </si>
  <si>
    <t>323R</t>
  </si>
  <si>
    <t>Por RF: Otros intereses y rendimientos financieros exentos</t>
  </si>
  <si>
    <t>324A</t>
  </si>
  <si>
    <t xml:space="preserve">Por RF: Intereses en operaciones de crédito entre instituciones del sistema financiero y entidades economía popular y solidaria. </t>
  </si>
  <si>
    <t>324B</t>
  </si>
  <si>
    <t xml:space="preserve">Por RF: Por inversiones entre instituciones del sistema financiero y entidades economía popular y solidaria. </t>
  </si>
  <si>
    <t>Anticipo dividendos</t>
  </si>
  <si>
    <t>325A</t>
  </si>
  <si>
    <t>Dividendos anticipados préstamos accionistas, beneficiarios o partìcipes</t>
  </si>
  <si>
    <t>Dividendos distribuidos a sociedades residentes</t>
  </si>
  <si>
    <t>dividendos distribuidos a fideicomisos residentes</t>
  </si>
  <si>
    <t>Otras compras de bienes y servicios no sujetas a retención</t>
  </si>
  <si>
    <t>332B</t>
  </si>
  <si>
    <t>Compra de bienes inmuebles</t>
  </si>
  <si>
    <t>332C</t>
  </si>
  <si>
    <t>Transporte público de pasajeros</t>
  </si>
  <si>
    <t>332D</t>
  </si>
  <si>
    <t>Pagos en el país por transporte de pasajeros o transporte internacional de carga, a compañías nacionales o extranjeras de aviación o marítimas</t>
  </si>
  <si>
    <t>332E</t>
  </si>
  <si>
    <t>Valores entregados por las cooperativas de transporte a sus socios</t>
  </si>
  <si>
    <t>332F</t>
  </si>
  <si>
    <t>Compraventa de divisas distintas al dólar de los Estados Unidos de América</t>
  </si>
  <si>
    <t>332G</t>
  </si>
  <si>
    <t xml:space="preserve">Pagos con tarjeta de crédito </t>
  </si>
  <si>
    <t>332H</t>
  </si>
  <si>
    <t>Pago al exterior tarjeta de crédito reportada por la Emisora de tarjeta de crédito, solo recap</t>
  </si>
  <si>
    <t>332I</t>
  </si>
  <si>
    <t>Pago a través de convenio de debito (Clientes IFI`s)</t>
  </si>
  <si>
    <t>Liquidación impuesto único a la venta local de banano de producción propia</t>
  </si>
  <si>
    <t>Impuesto único a la exportación de banano de producción propia - componente 1</t>
  </si>
  <si>
    <t>Impuesto único a la exportación de banano de producción propia - componente 2</t>
  </si>
  <si>
    <t>Impuesto único a la exportación de banano producido por terceros</t>
  </si>
  <si>
    <t>343A</t>
  </si>
  <si>
    <t>Por energía eléctrica</t>
  </si>
  <si>
    <t>343B</t>
  </si>
  <si>
    <t>Por actividades de construcción de obra material inmueble, urbanización, lotización o actividades similares</t>
  </si>
  <si>
    <t>Otras retenciones aplicables el 2%</t>
  </si>
  <si>
    <t>344A</t>
  </si>
  <si>
    <t>Pago local tarjeta de crédito reportada por la Emisora de tarjeta de crédito, solo recap</t>
  </si>
  <si>
    <t>346A</t>
  </si>
  <si>
    <t>Pago al exterior - Rentas Inmobiliarias</t>
  </si>
  <si>
    <t>Pago al exterior - Beneficios Empresariales</t>
  </si>
  <si>
    <t>Pago al exterior - Navegación Marítima y/o aérea</t>
  </si>
  <si>
    <t>Pago al exterior- Dividendos distribuidos a personas naturales</t>
  </si>
  <si>
    <t>504A</t>
  </si>
  <si>
    <t>Pago al exterior - Dividendos a sociedades</t>
  </si>
  <si>
    <t>504B</t>
  </si>
  <si>
    <t>504C</t>
  </si>
  <si>
    <t>504D</t>
  </si>
  <si>
    <t>504E</t>
  </si>
  <si>
    <t>504F</t>
  </si>
  <si>
    <t>504G</t>
  </si>
  <si>
    <t>504H</t>
  </si>
  <si>
    <t>Pago al exterior - Rendimientos financieros</t>
  </si>
  <si>
    <t>505A</t>
  </si>
  <si>
    <t>Pago al exterior – Intereses de créditos de Instituciones Financieras del exterior</t>
  </si>
  <si>
    <t>505B</t>
  </si>
  <si>
    <t>Pago al exterior – Intereses de créditos de gobierno a gobierno</t>
  </si>
  <si>
    <t>505C</t>
  </si>
  <si>
    <t>Pago al exterior – Intereses de créditos de organismos multilaterales</t>
  </si>
  <si>
    <t>505D</t>
  </si>
  <si>
    <t>Pago al exterior - Intereses por financiamiento de proveedores externos</t>
  </si>
  <si>
    <t>505E</t>
  </si>
  <si>
    <t>Pago al exterior - Intereses de otros créditos externos</t>
  </si>
  <si>
    <t>505F</t>
  </si>
  <si>
    <t>Pago al exterior - Otros Intereses y Rendimientos Financieros</t>
  </si>
  <si>
    <t>Pago al exterior - Cánones, derechos de autor,  marcas, patentes y similares</t>
  </si>
  <si>
    <t>509A</t>
  </si>
  <si>
    <t>Pago al exterior - Regalías por concepto de franquicias</t>
  </si>
  <si>
    <t>Pago al exterior - Ganancias de capital</t>
  </si>
  <si>
    <t>Pago al exterior - Servicios profesionales independientes</t>
  </si>
  <si>
    <t>Pago al exterior - Servicios profesionales dependientes</t>
  </si>
  <si>
    <t>Pago al exterior - Artistas</t>
  </si>
  <si>
    <t>513A</t>
  </si>
  <si>
    <t>Pago al exterior - Deportistas</t>
  </si>
  <si>
    <t>Pago al exterior - Participación de consejeros</t>
  </si>
  <si>
    <t>Pago al exterior - Entretenimiento Público</t>
  </si>
  <si>
    <t>Pago al exterior - Pensiones</t>
  </si>
  <si>
    <t>Pago al exterior - Reembolso de Gastos</t>
  </si>
  <si>
    <t>Pago al exterior - Funciones Públicas</t>
  </si>
  <si>
    <t>Pago al exterior - Estudiantes</t>
  </si>
  <si>
    <t>520A</t>
  </si>
  <si>
    <t>Pago al exterior - Pago a proveedores de servicios hoteleros y turísticos en el exterior</t>
  </si>
  <si>
    <t>520B</t>
  </si>
  <si>
    <t>Pago al exterior - Arrendamientos mercantil internacional</t>
  </si>
  <si>
    <t>520D</t>
  </si>
  <si>
    <t>Pago al exterior - Comisiones por exportaciones y por promoción de turismo receptivo</t>
  </si>
  <si>
    <t>520E</t>
  </si>
  <si>
    <t>Pago al exterior - Por las empresas de transporte marítimo o aéreo y por empresas pesqueras de alta mar, por su actividad.</t>
  </si>
  <si>
    <t>520F</t>
  </si>
  <si>
    <t>Pago al exterior - Por las agencias internacionales de prensa</t>
  </si>
  <si>
    <t>520G</t>
  </si>
  <si>
    <t>Pago al exterior - Contratos de fletamento de naves para empresas de transporte aéreo o marítimo internacional</t>
  </si>
  <si>
    <t xml:space="preserve">Pago al exterior - Enajenación de derechos representativos de capital y otros derechos </t>
  </si>
  <si>
    <t>523A</t>
  </si>
  <si>
    <t>Pago al exterior - Seguros y reaseguros (primas y cesiones)  con convenio de doble tributación</t>
  </si>
  <si>
    <t xml:space="preserve">Pago al exterior - Otros pagos al exterior no sujetos a retención </t>
  </si>
  <si>
    <t>Paises de Pagos al Exterior</t>
  </si>
  <si>
    <t>016-AMERICAN SAMOA</t>
  </si>
  <si>
    <t>074-BOUVET ISLAND</t>
  </si>
  <si>
    <t>101-ARGENTINA</t>
  </si>
  <si>
    <t>102-BOLIVIA</t>
  </si>
  <si>
    <t>103-BRASIL</t>
  </si>
  <si>
    <t>104-CANADA</t>
  </si>
  <si>
    <t>105-COLOMBIA</t>
  </si>
  <si>
    <t>106-COSTA RICA</t>
  </si>
  <si>
    <t>107-CUBA</t>
  </si>
  <si>
    <t>108-CHILE</t>
  </si>
  <si>
    <t>109-ANGUILA</t>
  </si>
  <si>
    <t>110-ESTADOS UNIDOS</t>
  </si>
  <si>
    <t>111-GUATEMALA</t>
  </si>
  <si>
    <t>112-HAITI</t>
  </si>
  <si>
    <t>113-HONDURAS</t>
  </si>
  <si>
    <t>114-JAMAICA</t>
  </si>
  <si>
    <t>115-MALVINAS  ISLAS</t>
  </si>
  <si>
    <t>116-MEXICO</t>
  </si>
  <si>
    <t>117-NICARAGUA</t>
  </si>
  <si>
    <t>118-PANAMA</t>
  </si>
  <si>
    <t>119-PARAGUAY</t>
  </si>
  <si>
    <t>120-PERU</t>
  </si>
  <si>
    <t>121-PUERTO RICO</t>
  </si>
  <si>
    <t>122-REPUBLICA DOMINICANA</t>
  </si>
  <si>
    <t>123-EL SALVADOR</t>
  </si>
  <si>
    <t>124-TRINIDAD Y TOBAGO</t>
  </si>
  <si>
    <t>125-URUGUAY</t>
  </si>
  <si>
    <t>126-VENEZUELA</t>
  </si>
  <si>
    <t>127-CURAZAO</t>
  </si>
  <si>
    <t>129-BAHAMAS</t>
  </si>
  <si>
    <t>130-BARBADOS</t>
  </si>
  <si>
    <t>131-GRANADA</t>
  </si>
  <si>
    <t>132-GUYANA</t>
  </si>
  <si>
    <t>133-SURINAM</t>
  </si>
  <si>
    <t>134-ANTIGUA Y BARBUDA</t>
  </si>
  <si>
    <t>135-BELICE</t>
  </si>
  <si>
    <t>136-DOMINICA</t>
  </si>
  <si>
    <t>137-SAN CRISTOBAL Y NEVIS</t>
  </si>
  <si>
    <t>138-SANTA LUCIA</t>
  </si>
  <si>
    <t>139-SAN VICENTE Y LAS GRANAD.</t>
  </si>
  <si>
    <t>140-ANTILLAS HOLANDESAS</t>
  </si>
  <si>
    <t>141-ARUBA</t>
  </si>
  <si>
    <t>142-BERMUDA</t>
  </si>
  <si>
    <t>143-GUADALUPE</t>
  </si>
  <si>
    <t>144-GUYANA FRANCESA</t>
  </si>
  <si>
    <t>145-ISLAS CAIMAN</t>
  </si>
  <si>
    <t>146-ISLAS VIRGENES (BRITANICAS)</t>
  </si>
  <si>
    <t>147-JOHNSTON ISLA</t>
  </si>
  <si>
    <t>148-MARTINICA</t>
  </si>
  <si>
    <t>149-MONTSERRAT ISLA</t>
  </si>
  <si>
    <t>151-TURCAS  Y CAICOS ISLAS</t>
  </si>
  <si>
    <t>152-VIRGENES,ISLAS(NORT.AMER.)</t>
  </si>
  <si>
    <t>201-ALBANIA</t>
  </si>
  <si>
    <t>202-ALEMANIA</t>
  </si>
  <si>
    <t>203-AUSTRIA</t>
  </si>
  <si>
    <t>204-BELGICA</t>
  </si>
  <si>
    <t>205-BULGARIA</t>
  </si>
  <si>
    <t>207-ALBORAN Y PEREJIL</t>
  </si>
  <si>
    <t>208-DINAMARCA</t>
  </si>
  <si>
    <t>209-ESPAÑA</t>
  </si>
  <si>
    <t>211-FRANCIA</t>
  </si>
  <si>
    <t>212-FINLANDIA</t>
  </si>
  <si>
    <t>213-REINO UNIDO</t>
  </si>
  <si>
    <t>214-GRECIA</t>
  </si>
  <si>
    <t>215-PAISES BAJOS (HOLANDA)</t>
  </si>
  <si>
    <t>216-HUNGRIA</t>
  </si>
  <si>
    <t>217-IRLANDA</t>
  </si>
  <si>
    <t>218-ISLANDIA</t>
  </si>
  <si>
    <t>219-ITALIA</t>
  </si>
  <si>
    <t>220-LUXEMBURGO</t>
  </si>
  <si>
    <t>221-MALTA</t>
  </si>
  <si>
    <t>222-NORUEGA</t>
  </si>
  <si>
    <t>223-POLONIA</t>
  </si>
  <si>
    <t>224-PORTUGAL</t>
  </si>
  <si>
    <t>225-RUMANIA</t>
  </si>
  <si>
    <t>226-SUECIA</t>
  </si>
  <si>
    <t>227-SUIZA</t>
  </si>
  <si>
    <t>228-CANARIAS  ISLAS</t>
  </si>
  <si>
    <t>229-UCRANIA</t>
  </si>
  <si>
    <t>230-RUSIA</t>
  </si>
  <si>
    <t>231-YUGOSLAVIA</t>
  </si>
  <si>
    <t>233-ANDORRA</t>
  </si>
  <si>
    <t>234-LIECHTENSTEIN</t>
  </si>
  <si>
    <t>235-MONACO</t>
  </si>
  <si>
    <t>237-SAN MARINO</t>
  </si>
  <si>
    <t>238-VATICANO (SANTA SEDE)</t>
  </si>
  <si>
    <t>239-GIBRALTAR</t>
  </si>
  <si>
    <t>241-BELARUS</t>
  </si>
  <si>
    <t>242-BOSNIA Y HERZEGOVINA</t>
  </si>
  <si>
    <t>243-CROACIA</t>
  </si>
  <si>
    <t>244-ESLOVENIA</t>
  </si>
  <si>
    <t>245-ESTONIA</t>
  </si>
  <si>
    <t>246-GEORGIA</t>
  </si>
  <si>
    <t>247-GROENLANDIA</t>
  </si>
  <si>
    <t>248-LETONIA</t>
  </si>
  <si>
    <t>249-LITUANIA</t>
  </si>
  <si>
    <t>250-MOLDOVA</t>
  </si>
  <si>
    <t>251-MACEDONIA</t>
  </si>
  <si>
    <t>252-ESLOVAQUIA</t>
  </si>
  <si>
    <t>253-ISLAS FAROE</t>
  </si>
  <si>
    <t>260-FRENCH SOUTHERN TERRITORIES</t>
  </si>
  <si>
    <t>301-AFGANISTAN</t>
  </si>
  <si>
    <t>302-ARABIA SAUDITA</t>
  </si>
  <si>
    <t>303-MYANMAR (BURMA)</t>
  </si>
  <si>
    <t>304-CAMBOYA</t>
  </si>
  <si>
    <t>306-COREA NORTE</t>
  </si>
  <si>
    <t>307-TAIWAN (CHINA)</t>
  </si>
  <si>
    <t>308-FILIPINAS</t>
  </si>
  <si>
    <t>309-INDIA</t>
  </si>
  <si>
    <t>310-INDONESIA</t>
  </si>
  <si>
    <t>311-IRAK</t>
  </si>
  <si>
    <t>312-IRAN (REPUBLICA ISLAMICA)</t>
  </si>
  <si>
    <t>313-ISRAEL</t>
  </si>
  <si>
    <t>314-JAPON</t>
  </si>
  <si>
    <t>315-JORDANIA</t>
  </si>
  <si>
    <t>316-KUWAIT</t>
  </si>
  <si>
    <t>317-LAOS, REP. POP. DEMOC.</t>
  </si>
  <si>
    <t>318-LIBANO</t>
  </si>
  <si>
    <t>319-MALASIA</t>
  </si>
  <si>
    <t>321-MONGOLIA (MANCHURIA)</t>
  </si>
  <si>
    <t>322-PAKISTAN</t>
  </si>
  <si>
    <t>323-SIRIA</t>
  </si>
  <si>
    <t>325-TAILANDIA</t>
  </si>
  <si>
    <t>327-BAHREIN</t>
  </si>
  <si>
    <t>328-BANGLADESH</t>
  </si>
  <si>
    <t>329-BUTAN</t>
  </si>
  <si>
    <t>330-COREA DEL SUR</t>
  </si>
  <si>
    <t>331-CHINA POPULAR</t>
  </si>
  <si>
    <t>332-CHIPRE</t>
  </si>
  <si>
    <t>333-EMIRATOS ARABES UNIDOS</t>
  </si>
  <si>
    <t>334-QATAR</t>
  </si>
  <si>
    <t>335-MALDIVAS</t>
  </si>
  <si>
    <t>336-NEPAL</t>
  </si>
  <si>
    <t>337-OMAN</t>
  </si>
  <si>
    <t>338-SINGAPUR</t>
  </si>
  <si>
    <t>339-SRI LANKA (CEILAN)</t>
  </si>
  <si>
    <t>341-VIETNAM</t>
  </si>
  <si>
    <t>342-YEMEN</t>
  </si>
  <si>
    <t>343-ISLAS HEARD Y MCDONALD</t>
  </si>
  <si>
    <t>344-BRUNEI DARUSSALAM</t>
  </si>
  <si>
    <t>346-TURQUIA</t>
  </si>
  <si>
    <t>347-AZERBAIJAN</t>
  </si>
  <si>
    <t>348-KAZAJSTAN</t>
  </si>
  <si>
    <t>349-KIRGUIZISTAN</t>
  </si>
  <si>
    <t>350-TAJIKISTAN</t>
  </si>
  <si>
    <t>351-TURKMENISTAN</t>
  </si>
  <si>
    <t>352-UZBEKISTAN</t>
  </si>
  <si>
    <t>353-PALESTINA</t>
  </si>
  <si>
    <t>354-HONG KONG</t>
  </si>
  <si>
    <t>355-MACAO</t>
  </si>
  <si>
    <t>356-ARMENIA</t>
  </si>
  <si>
    <t>382-MONTENEGRO</t>
  </si>
  <si>
    <t>402-BURKINA FASO</t>
  </si>
  <si>
    <t>403-ARGELIA</t>
  </si>
  <si>
    <t>404-BURUNDI</t>
  </si>
  <si>
    <t>405-CAMERUN</t>
  </si>
  <si>
    <t>406-CONGO</t>
  </si>
  <si>
    <t>407-ETIOPIA</t>
  </si>
  <si>
    <t>408-GAMBIA</t>
  </si>
  <si>
    <t>409-GUINEA</t>
  </si>
  <si>
    <t>410-LIBERIA</t>
  </si>
  <si>
    <t>412-MADAGASCAR</t>
  </si>
  <si>
    <t>413-MALAWI</t>
  </si>
  <si>
    <t>414-MALI</t>
  </si>
  <si>
    <t>415-MARRUECOS</t>
  </si>
  <si>
    <t>416-MAURITANIA</t>
  </si>
  <si>
    <t>417-NIGERIA</t>
  </si>
  <si>
    <t>419-ZIMBABWE (RHODESIA)</t>
  </si>
  <si>
    <t>420-SENEGAL</t>
  </si>
  <si>
    <t>421-SUDAN</t>
  </si>
  <si>
    <t>422-SUDAFRICA  (CISKEI)</t>
  </si>
  <si>
    <t>423-SIERRA LEONA</t>
  </si>
  <si>
    <t>425-TANZANIA</t>
  </si>
  <si>
    <t>426-UGANDA</t>
  </si>
  <si>
    <t>427-ZAMBIA</t>
  </si>
  <si>
    <t>428-ÅLAND ISLANDS</t>
  </si>
  <si>
    <t>429-BENIN</t>
  </si>
  <si>
    <t>430-BOTSWANA</t>
  </si>
  <si>
    <t>431-REPUBLICA CENTROAFRICANA</t>
  </si>
  <si>
    <t>432-COSTA DE MARFIL</t>
  </si>
  <si>
    <t>433-CHAD</t>
  </si>
  <si>
    <t>434-EGIPTO</t>
  </si>
  <si>
    <t>435-GABON</t>
  </si>
  <si>
    <t>436-GHANA</t>
  </si>
  <si>
    <t>437-GUINEA-BISSAU</t>
  </si>
  <si>
    <t>438-GUINEA ECUATORIAL</t>
  </si>
  <si>
    <t>439-KENIA</t>
  </si>
  <si>
    <t>440-LESOTHO</t>
  </si>
  <si>
    <t>441-MAURICIO</t>
  </si>
  <si>
    <t>442-MOZAMBIQUE</t>
  </si>
  <si>
    <t>443-MAYOTTE</t>
  </si>
  <si>
    <t>444-NIGER</t>
  </si>
  <si>
    <t>445-RWANDA</t>
  </si>
  <si>
    <t>446-SEYCHELLES</t>
  </si>
  <si>
    <t>447-SAHARA OCCIDENTAL</t>
  </si>
  <si>
    <t>448-SOMALIA</t>
  </si>
  <si>
    <t>449-SANTO TOME Y PRINCIPE</t>
  </si>
  <si>
    <t>450-SWAZILANDIA</t>
  </si>
  <si>
    <t>451-TOGO</t>
  </si>
  <si>
    <t>452-TUNEZ</t>
  </si>
  <si>
    <t>453-ZAIRE</t>
  </si>
  <si>
    <t>454-ANGOLA</t>
  </si>
  <si>
    <t>456-CABO VERDE</t>
  </si>
  <si>
    <t>458-COMORAS</t>
  </si>
  <si>
    <t>459-DJIBOUTI</t>
  </si>
  <si>
    <t>460-NAMIBIA</t>
  </si>
  <si>
    <t>463-ERITREA</t>
  </si>
  <si>
    <t>464-MOROCCO</t>
  </si>
  <si>
    <t>465-REUNION</t>
  </si>
  <si>
    <t>466-SANTA ELENA</t>
  </si>
  <si>
    <t>499-JERSEY</t>
  </si>
  <si>
    <t>501-AUSTRALIA</t>
  </si>
  <si>
    <t>503-NUEVA ZELANDA</t>
  </si>
  <si>
    <t>504-SAMOA OCCIDENTAL</t>
  </si>
  <si>
    <t>506-FIJI</t>
  </si>
  <si>
    <t>507-PAPUA NUEVA GUINEA</t>
  </si>
  <si>
    <t>508-TONGA</t>
  </si>
  <si>
    <t>509-PALAO  (BELAU)  ISLAS</t>
  </si>
  <si>
    <t>510-KIRIBATI</t>
  </si>
  <si>
    <t>511-MARSHALL ISLAS</t>
  </si>
  <si>
    <t>512-MICRONESIA</t>
  </si>
  <si>
    <t>513-NAURU</t>
  </si>
  <si>
    <t>514-SALOMON  ISLAS</t>
  </si>
  <si>
    <t>515-TUVALU</t>
  </si>
  <si>
    <t>516-VANUATU</t>
  </si>
  <si>
    <t>517-GUAM</t>
  </si>
  <si>
    <t>518-ISLAS COCOS (KEELING)</t>
  </si>
  <si>
    <t>519-ISLAS COOK</t>
  </si>
  <si>
    <t>520-ISLAS NAVIDAD</t>
  </si>
  <si>
    <t>521-MIDWAY ISLAS</t>
  </si>
  <si>
    <t>522-NIUE ISLA</t>
  </si>
  <si>
    <t>523-NORFOLK ISLA</t>
  </si>
  <si>
    <t>524-NUEVA  CALEDONIA</t>
  </si>
  <si>
    <t>525-PITCAIRN, ISLA</t>
  </si>
  <si>
    <t>526-POLINESIA FRANCESA</t>
  </si>
  <si>
    <t>529-TIMOR DEL ESTE</t>
  </si>
  <si>
    <t>530-TOKELAI</t>
  </si>
  <si>
    <t>531-WAKE ISLA</t>
  </si>
  <si>
    <t>532-WALLIS Y FUTUNA, ISLAS</t>
  </si>
  <si>
    <t>590-SAINT BARTHELEMY</t>
  </si>
  <si>
    <t>593-ECUADOR</t>
  </si>
  <si>
    <t>594-AGUAS INTERNACIONALES</t>
  </si>
  <si>
    <t>595-ALTO VOLTA</t>
  </si>
  <si>
    <t>596-BIELORRUSIA</t>
  </si>
  <si>
    <t>597-COTE DÍVOIRE</t>
  </si>
  <si>
    <t>598-CYPRUS</t>
  </si>
  <si>
    <t>599-REPUBLICA CHECA</t>
  </si>
  <si>
    <t>600-FALKLAND ISLANDS</t>
  </si>
  <si>
    <t>601-LATVIA</t>
  </si>
  <si>
    <t>602-LIBIA</t>
  </si>
  <si>
    <t>603-NORTHERN MARIANA ISL</t>
  </si>
  <si>
    <t>604-ST. PIERRE AND MIQUE</t>
  </si>
  <si>
    <t>605-SYRIAN ARAB REPUBLIC</t>
  </si>
  <si>
    <t>606-TERRITORIO ANTARTICO BRITANICO</t>
  </si>
  <si>
    <t>607-TERRITORIO BRITANICO OCEANO IN</t>
  </si>
  <si>
    <t>688-SERBIA</t>
  </si>
  <si>
    <t>831-GUERNSEY</t>
  </si>
  <si>
    <t>833-ISLE OF MAN</t>
  </si>
  <si>
    <t>Paises de Pagos en Paraisos Fiscales</t>
  </si>
  <si>
    <t>001-ANGUILA (Territorio no autónomo del Reino Unido)</t>
  </si>
  <si>
    <t>002-ANTIGUA Y BARBUDA (Estado independiente)</t>
  </si>
  <si>
    <t>003-ARCHIPIÉLAGO DE SVALBARD</t>
  </si>
  <si>
    <t>004-ARUBA</t>
  </si>
  <si>
    <t>005-BARBADOS (Estado independiente)</t>
  </si>
  <si>
    <t>006-BELICE (Estado independiente)</t>
  </si>
  <si>
    <t>007-BERMUDAS (Territorio no autónomo del Reino Unido)</t>
  </si>
  <si>
    <t>008-BONAIRE, SABA Y SAN EUSTAQUIO</t>
  </si>
  <si>
    <t>009-BRUNEI DARUSSALAM (Estado independiente)</t>
  </si>
  <si>
    <t>010-CAMPIONE D'ITALIA (Comune di Campioned'Italia)</t>
  </si>
  <si>
    <t>011-COLONIA DE GIBRALTAR</t>
  </si>
  <si>
    <t>012-COMUNIDAD DE LAS BAHAMAS (Estado independiente)</t>
  </si>
  <si>
    <t>013-CURAZAO</t>
  </si>
  <si>
    <t>014-ESTADO ASOCIADO DE GRANADA (Estado independiente)</t>
  </si>
  <si>
    <t>015-ESTADO DE BAHREIN (Estado independiente)</t>
  </si>
  <si>
    <t>016-ESTADO DE KUWAIT (Estado independiente)</t>
  </si>
  <si>
    <t>017-ESTADO LIBRE ASOCIADO DE PUERTO RICO (Estado asociado a los EEUU)</t>
  </si>
  <si>
    <t>018-EMIRATOS ÁRABES UNIDOS (Estado independiente)</t>
  </si>
  <si>
    <t>019-FEDERACIÓN DE SAN CRISTÓBAL (Islas Saint Kitts and Nevis: independientes)</t>
  </si>
  <si>
    <t>020-GRAN DUCADO DE LUXEMBURGO</t>
  </si>
  <si>
    <t>021-GROENLANDIA</t>
  </si>
  <si>
    <t>022-GUAM (Territorio no autónomo de los EEUU)</t>
  </si>
  <si>
    <t>023-ISLA DE ASCENSIÓN</t>
  </si>
  <si>
    <t>024-ISLAS AZORES</t>
  </si>
  <si>
    <t>025-ISLAS CAIMÁN (Territorio no autónomo del Reino Unido)</t>
  </si>
  <si>
    <t>026-ISLAS CHRISTMAS</t>
  </si>
  <si>
    <t>027-ISLA DE COCOS O KEELING</t>
  </si>
  <si>
    <t>028-ISLA DE COOK (Territorio autónomo asociado a Nueva Zelanda)</t>
  </si>
  <si>
    <t>029-ISLA DE MAN (Territorio del Reino Unido)</t>
  </si>
  <si>
    <t>030-ISLA DE NORFOLK</t>
  </si>
  <si>
    <t>031-ISLA DE SAN PEDRO Y MIGUELÓN</t>
  </si>
  <si>
    <t>032-ISLAS DEL CANAL (Guernesey, Alderney, Isla de Great Stark, Herm, Little Sark, Brechou, Jethou, Lihou)</t>
  </si>
  <si>
    <t>088-ISLAS DEL CANAL (Jersey)</t>
  </si>
  <si>
    <t>033-ISLA QESHM</t>
  </si>
  <si>
    <t>034-ISLAS SALOMÓN</t>
  </si>
  <si>
    <t>035-ISLAS TURKAS E ISLAS CAICOS (Territorio no autónomo del Reino Unido)</t>
  </si>
  <si>
    <t>036-ISLAS VÍRGENES BRITÁNICAS (Territorio no autónomo del Reino Unido)</t>
  </si>
  <si>
    <t>037-ISLAS VÍRGENES DE ESTADOS UNIDOS DE AMÉRICA</t>
  </si>
  <si>
    <t>038-KIRIBATI</t>
  </si>
  <si>
    <t>039-LABUAN</t>
  </si>
  <si>
    <t>040-MACAO</t>
  </si>
  <si>
    <t>041-MADEIRA (Territorio de Portugal)</t>
  </si>
  <si>
    <t>042-MANCOMUNIDAD DE DOMINICA (Estado asociado)</t>
  </si>
  <si>
    <t>043-MONTSERRAT (Territorio no autónomo del Reino Unido)</t>
  </si>
  <si>
    <t>044-MYANMAR (ex Birmania)</t>
  </si>
  <si>
    <t>045-NIGERIA</t>
  </si>
  <si>
    <t>046-NIUE</t>
  </si>
  <si>
    <t>047-PALAU</t>
  </si>
  <si>
    <t>048-PITCAIRN</t>
  </si>
  <si>
    <t>049-POLINESIA FRANCESA (Territorio de Ultramar de Francia)</t>
  </si>
  <si>
    <t>050-PRINCIPADO DE LIECHTENSTEIN (Estado independiente)</t>
  </si>
  <si>
    <t>051-PRINCIPADO DE MÓNACO</t>
  </si>
  <si>
    <t>052-PRINCIPADO DEL VALLE DE ANDORRA</t>
  </si>
  <si>
    <t>053-REINO DE SWAZILANDIA (Estado independiente)</t>
  </si>
  <si>
    <t>054-REINO DE TONGA (Estado independiente)</t>
  </si>
  <si>
    <t>055-REINO HACHEMITA DE JORDANIA</t>
  </si>
  <si>
    <t>056-REPÚBLICA COOPERATIVA DE GUYANA (Estado independiente)</t>
  </si>
  <si>
    <t>057-REPÚBLICA DE ALBANIA</t>
  </si>
  <si>
    <t>058-REPÚBLICA DE ANGOLA</t>
  </si>
  <si>
    <t>059-REPÚBLICA DE CABO VERDE (Estado independiente)</t>
  </si>
  <si>
    <t>060-REPÚBLICA DE CHIPRE</t>
  </si>
  <si>
    <t>061-REPÚBLICA DE DJIBOUTI (Estado independiente)</t>
  </si>
  <si>
    <t>062-REPÚBLICA DE LAS ISLAS MARSHALL (Estado independiente)</t>
  </si>
  <si>
    <t>063-REPÚBLICA DE LIBERIA (Estado independiente)</t>
  </si>
  <si>
    <t>064-REPÚBLICA DE MALDIVAS (Estado independiente)</t>
  </si>
  <si>
    <t>065-REPÚBLICA DE MALTA (Estado independiente)</t>
  </si>
  <si>
    <t>066-REPÚBLICA DE MAURICIO</t>
  </si>
  <si>
    <t>067-REPÚBLICA DE NAURU (Estado independiente)</t>
  </si>
  <si>
    <t>068-REPÚBLICA DE PANAMÁ (Estado independiente)</t>
  </si>
  <si>
    <t>069-REPÚBLICA DE SEYCHELLES (Estado independiente)</t>
  </si>
  <si>
    <t>070-REPÚBLICA DE TRINIDAD Y TOBAGO</t>
  </si>
  <si>
    <t>071-REPÚBLICA DE TÚNEZ</t>
  </si>
  <si>
    <t>072-REPÚBLICA DE VANUATU</t>
  </si>
  <si>
    <t>073-REPÚBLICA DEL YEMEN</t>
  </si>
  <si>
    <t>074-REPÚBLICA DEMOCRÁTICA SOCIALISTA DE SRI LANKA</t>
  </si>
  <si>
    <t>075-SAMOA AMERICANA (Territorio no autónomo de los EEUU)</t>
  </si>
  <si>
    <t>076-SAMOA OCCIDENTAL</t>
  </si>
  <si>
    <t>077-SAN VICENTE Y LAS GRANADINAS (Estado independiente)</t>
  </si>
  <si>
    <t>078-SANTA ELENA</t>
  </si>
  <si>
    <t>079-SANTA LUCÍA</t>
  </si>
  <si>
    <t>080-SAN MARTÍN</t>
  </si>
  <si>
    <t>534-SINT MAARTEN (DUTCH PART)</t>
  </si>
  <si>
    <t>081-SERENÍSIMA REPÚBLICA DE SAN MARINO (Estado independiente)</t>
  </si>
  <si>
    <t>082-SULTANADO DE OMAN</t>
  </si>
  <si>
    <t>083-TOKELAU</t>
  </si>
  <si>
    <t>084-TRISTAN DA CUNHA (SH Saint Helena)</t>
  </si>
  <si>
    <t>085-TUVALU</t>
  </si>
  <si>
    <t>086-ZONA LIBRE DE OSTRAVA</t>
  </si>
  <si>
    <t>Paises para Exportaciones</t>
  </si>
  <si>
    <t>Codigos de Regimen</t>
  </si>
  <si>
    <t>40-Exportación definitiva</t>
  </si>
  <si>
    <t>50-Exportación temporal para reimportación en el mismo estado</t>
  </si>
  <si>
    <t>51-Exportación temporal para perfeccionamiento pasivo</t>
  </si>
  <si>
    <t>60-Reexp. de mercancías en el mismo estado</t>
  </si>
  <si>
    <t>61-Reexportación de mercancías que fueron importadas para perfeccionamiento activo</t>
  </si>
  <si>
    <t>79-Exportación a consumo desde Zona Franca</t>
  </si>
  <si>
    <t>83-Reembarque</t>
  </si>
  <si>
    <t>94-Courier exportación</t>
  </si>
  <si>
    <t>95-Exportaciones Correos del Ecuador</t>
  </si>
  <si>
    <t>Tipos de Exportaciones</t>
  </si>
  <si>
    <t>01-Exportación de bienes con Refrendo</t>
  </si>
  <si>
    <t>02-Exportación de bienes sin Refrendo</t>
  </si>
  <si>
    <t>03-Exportaciones de servicios</t>
  </si>
  <si>
    <t>Distritos Aduaneros</t>
  </si>
  <si>
    <t>019-GQUIL-AÉREO</t>
  </si>
  <si>
    <t>028-GQUIL-MARÍTIMO</t>
  </si>
  <si>
    <t>037-MANTA</t>
  </si>
  <si>
    <t>046-ESMERALDAS</t>
  </si>
  <si>
    <t>055-QUITO</t>
  </si>
  <si>
    <t>064-PTO-BOLÍVAR</t>
  </si>
  <si>
    <t>073-TULCÁN</t>
  </si>
  <si>
    <t>082-HUAQUILLAS</t>
  </si>
  <si>
    <t>091-CUENCA</t>
  </si>
  <si>
    <t>109-LOJA-MACARA</t>
  </si>
  <si>
    <t>118-STA ELENA</t>
  </si>
  <si>
    <t>127-LATACUNGA</t>
  </si>
  <si>
    <t>136-GERENCIA GENERAL</t>
  </si>
  <si>
    <t xml:space="preserve">145-CEBAF – SAN MIGUEL </t>
  </si>
  <si>
    <t>01</t>
  </si>
  <si>
    <t>02</t>
  </si>
  <si>
    <t>03</t>
  </si>
  <si>
    <t>04</t>
  </si>
  <si>
    <t>05</t>
  </si>
  <si>
    <t>19</t>
  </si>
  <si>
    <t>20</t>
  </si>
  <si>
    <t>21</t>
  </si>
  <si>
    <t>08</t>
  </si>
  <si>
    <t>09</t>
  </si>
  <si>
    <t>11</t>
  </si>
  <si>
    <t>12</t>
  </si>
  <si>
    <t>15</t>
  </si>
  <si>
    <t>16</t>
  </si>
  <si>
    <t>18</t>
  </si>
  <si>
    <t>22</t>
  </si>
  <si>
    <t>23</t>
  </si>
  <si>
    <t>24</t>
  </si>
  <si>
    <t>41</t>
  </si>
  <si>
    <t>42</t>
  </si>
  <si>
    <t>43</t>
  </si>
  <si>
    <t>44</t>
  </si>
  <si>
    <t>45</t>
  </si>
  <si>
    <t>47</t>
  </si>
  <si>
    <t>48</t>
  </si>
  <si>
    <t>49</t>
  </si>
  <si>
    <t>50</t>
  </si>
  <si>
    <t>51</t>
  </si>
  <si>
    <t>52</t>
  </si>
  <si>
    <t>Tipos de Ingresos del Exterior</t>
  </si>
  <si>
    <t>401- Rentas Inmobiliarias</t>
  </si>
  <si>
    <t>402- Beneficios  y servicios Empresariales  / Asistencia técnica</t>
  </si>
  <si>
    <t>403- Beneficios  y servicios Empresariales  / Comisiones</t>
  </si>
  <si>
    <t>404- Beneficios  y servicios Empresariales / Comisiones sobre préstamos</t>
  </si>
  <si>
    <t>405- Beneficios  y servicios Empresariales/Honorarios</t>
  </si>
  <si>
    <t>406- Beneficios  y servicios Empresariales / Publicidad</t>
  </si>
  <si>
    <t>407- Beneficios  y servicios Empresariales / Servicios administrativos</t>
  </si>
  <si>
    <t>408- Beneficios  y servicios Empresariales / Servicios financieros</t>
  </si>
  <si>
    <t>409- Beneficios  y servicios Empresariales /Servicios intermedios de la producción (maquila)</t>
  </si>
  <si>
    <t>410- Beneficios  y servicios Empresariales /Servicios técnicos</t>
  </si>
  <si>
    <t>411- Navegación Marítima y/o aérea</t>
  </si>
  <si>
    <t>412-Dividendos</t>
  </si>
  <si>
    <t>413-Rendimientos financieros / Comisiones sobre préstamos</t>
  </si>
  <si>
    <t>414-Rendimientos financieros / Otras inversiones</t>
  </si>
  <si>
    <t>415-Garantías</t>
  </si>
  <si>
    <t>416- Servicios profesionales independientes /dependientes</t>
  </si>
  <si>
    <t>417-Intereses sobre préstamos</t>
  </si>
  <si>
    <t xml:space="preserve">418-Intereses créditos en ventas </t>
  </si>
  <si>
    <t>419-Regalías /Cánones, derechos de autor,  marcas, patentes y similares</t>
  </si>
  <si>
    <t>420-Regalías / Por concepto de franquicias</t>
  </si>
  <si>
    <t xml:space="preserve">421-Seguros y reaseguros (primas y cesiones)  </t>
  </si>
  <si>
    <t>422-Utilidad o pérdida por derivados financieros</t>
  </si>
  <si>
    <t>423-Utilidad por operaciones de futuros distintas de las del sector financiero</t>
  </si>
  <si>
    <t>424-Venta de bienes intangibles</t>
  </si>
  <si>
    <t>425-Enajenación de derechos representativos de capital</t>
  </si>
  <si>
    <t>426-Enajenación de obligaciones</t>
  </si>
  <si>
    <t>427-Artistas</t>
  </si>
  <si>
    <t>428-Deportistas</t>
  </si>
  <si>
    <t>429-Participación de consejeros</t>
  </si>
  <si>
    <t>430- Entretenimiento Público</t>
  </si>
  <si>
    <t>431-Pensiones</t>
  </si>
  <si>
    <t>432-Reembolso de Gastos</t>
  </si>
  <si>
    <t>433-Funciones Públicas</t>
  </si>
  <si>
    <t>434- Estudiantes</t>
  </si>
  <si>
    <t>435-Arrendamientos mercantil internacional</t>
  </si>
  <si>
    <t>436- Contratos de fletamento de naves para empresas de transporte aéreo o marítimo internacional</t>
  </si>
  <si>
    <t xml:space="preserve">437-Seguros y reaseguros (primas y cesiones)  </t>
  </si>
  <si>
    <t>438-Otros ingresos</t>
  </si>
  <si>
    <t>439-Otros servicios</t>
  </si>
  <si>
    <t>(Opcional)</t>
  </si>
  <si>
    <t>Valores Retenidos - Codigo Ret. #3</t>
  </si>
  <si>
    <t>solo copie</t>
  </si>
  <si>
    <t>No. de Identificacion</t>
  </si>
  <si>
    <t>Tipo Identif.</t>
  </si>
  <si>
    <t>Razon Social Contribuyente</t>
  </si>
  <si>
    <t>Tipo Proveedor</t>
  </si>
  <si>
    <t>Parte Relacionada</t>
  </si>
  <si>
    <t>Comprobante</t>
  </si>
  <si>
    <t>Establecimiento</t>
  </si>
  <si>
    <t>Punto Emisión</t>
  </si>
  <si>
    <t>Numero Secuencial</t>
  </si>
  <si>
    <t>Numero Autorización S.R.I.</t>
  </si>
  <si>
    <t>Fecha de Emisión</t>
  </si>
  <si>
    <t>Comprobante Modificado</t>
  </si>
  <si>
    <t>Numero Secuencial Modificado</t>
  </si>
  <si>
    <t>Numero Autorización S.R.I. Modificado</t>
  </si>
  <si>
    <t>Concepto de la Compra</t>
  </si>
  <si>
    <t>Codigo Sustento</t>
  </si>
  <si>
    <t>Base Imponible NO Objeto de IVA</t>
  </si>
  <si>
    <t>Base Imponible EXENTA de IVA</t>
  </si>
  <si>
    <t>Base Imponible Tarifa 0%</t>
  </si>
  <si>
    <t>Base Imponible Gravable de IVA</t>
  </si>
  <si>
    <t>Tarifa de IVA aplicada</t>
  </si>
  <si>
    <t>Monto I.V.A.</t>
  </si>
  <si>
    <t>Aplica Compensacion solidaria</t>
  </si>
  <si>
    <t>Total del Documento</t>
  </si>
  <si>
    <t>Valor de Base Imponible</t>
  </si>
  <si>
    <t>Fecha de Emisión Ret.1</t>
  </si>
  <si>
    <t>Código Retención 1</t>
  </si>
  <si>
    <t>Base Imponible - Ret1</t>
  </si>
  <si>
    <t>Porcentaje Retención 1</t>
  </si>
  <si>
    <t>Valor Retenido 1</t>
  </si>
  <si>
    <t>Fecha de Pago Dividendos Ret1</t>
  </si>
  <si>
    <t>Impto. Renta Sociedades Ret.1</t>
  </si>
  <si>
    <t>Anio de utilidades generadas</t>
  </si>
  <si>
    <t>Cantidad de Cajas de Banano</t>
  </si>
  <si>
    <t>Precio de la Caja de Banano</t>
  </si>
  <si>
    <t>Código Retención 2</t>
  </si>
  <si>
    <t>Base Imponible - Ret2</t>
  </si>
  <si>
    <t>Porcentaje Retención 2</t>
  </si>
  <si>
    <t>Valor Retenido 2</t>
  </si>
  <si>
    <t>Código Retención 3</t>
  </si>
  <si>
    <t>Base Imponible - Ret3</t>
  </si>
  <si>
    <t>Porcentaje Retención 3</t>
  </si>
  <si>
    <t>Valor Retenido 3</t>
  </si>
  <si>
    <t>Valor Retención  IVA 10%</t>
  </si>
  <si>
    <t>Valor Retención  IVA 20%</t>
  </si>
  <si>
    <t>Valor Retención  IVA 30%</t>
  </si>
  <si>
    <t>Valor Retención  IVA 50%</t>
  </si>
  <si>
    <t>Valor Retención  IVA 70%</t>
  </si>
  <si>
    <t>Valor Retención  IVA 100%</t>
  </si>
  <si>
    <t>Total Retención IVA+Fte.</t>
  </si>
  <si>
    <t>Tipo de Pago</t>
  </si>
  <si>
    <t>Forma de PAGO 1</t>
  </si>
  <si>
    <t>Forma de PAGO 2</t>
  </si>
  <si>
    <t>Tipo de Regimen fiscal del Exterior</t>
  </si>
  <si>
    <t>01-Paises de residencia a quien se efectua el PAGO</t>
  </si>
  <si>
    <t>03-Denominacion del Regimen fiscal Preferente</t>
  </si>
  <si>
    <t>Pais de residencia a quien se efectua el PAGO en EXTERIOR</t>
  </si>
  <si>
    <t>Aplica Convenio Doble Tributacion</t>
  </si>
  <si>
    <t>Pago al Exterior sujeto a Retencion</t>
  </si>
  <si>
    <t>Pago al Exterior en Regimen de Menor Imposicion</t>
  </si>
  <si>
    <t>Form.104_a</t>
  </si>
  <si>
    <t>Form.104_b</t>
  </si>
  <si>
    <t>Form.104_c</t>
  </si>
  <si>
    <t>OBSERVACIONES</t>
  </si>
  <si>
    <t>validacion Identificacion</t>
  </si>
  <si>
    <t>NO</t>
  </si>
  <si>
    <t>RUC No.</t>
  </si>
  <si>
    <t>Cédula de Identidad o No. de Pasaporte</t>
  </si>
  <si>
    <t>NOMBRE :</t>
  </si>
  <si>
    <t xml:space="preserve"> FIRMA CONTADOR</t>
  </si>
  <si>
    <t xml:space="preserve"> </t>
  </si>
  <si>
    <t>FIRMA SUJETO PASIVO / REPRESENTANTE LEGAL</t>
  </si>
  <si>
    <t>DECLARO QUE LOS DATOS PROPORCIONADOS EN ESTE DOCUMENTO SON EXACTOS Y VERDADEROS, POR LO QUE ASUMO LA RESPONSABILIDAD LEGAL QUE DE ELLA SE DERIVEN (Art. 101 de la L.O.R.T.I.)</t>
  </si>
  <si>
    <t>USD</t>
  </si>
  <si>
    <t xml:space="preserve">Res.No. </t>
  </si>
  <si>
    <t>N/C No</t>
  </si>
  <si>
    <t>TITULOS DEL BANCO CENTRAL</t>
  </si>
  <si>
    <t>DETALLE DE COMPENSACIONES</t>
  </si>
  <si>
    <t>DETALLE NOTAS DE CRÉDITO DESMATERIALIZADAS</t>
  </si>
  <si>
    <t>DETALLE DE NOTAS DE CRÉDITO CARTULARES</t>
  </si>
  <si>
    <t>925</t>
  </si>
  <si>
    <t>MEDIANTE TITULOS DEL BANCO CENTRAL (TBC)</t>
  </si>
  <si>
    <t>907</t>
  </si>
  <si>
    <t xml:space="preserve">MEDIANTE NOTAS DE CRÉDITO                                                     </t>
  </si>
  <si>
    <t>906</t>
  </si>
  <si>
    <t xml:space="preserve">MEDIANTE COMPENSACIONES                                                                     </t>
  </si>
  <si>
    <t>905</t>
  </si>
  <si>
    <t>MEDIANTE CHEQUE, DÉBITO BANCARIO, EFECTIVO U OTRAS FORMAS DE PAGO</t>
  </si>
  <si>
    <t>=</t>
  </si>
  <si>
    <t>TOTAL PAGADO</t>
  </si>
  <si>
    <t>+</t>
  </si>
  <si>
    <t>MULTAS</t>
  </si>
  <si>
    <t xml:space="preserve">INTERÉS POR MORA </t>
  </si>
  <si>
    <t>859-898</t>
  </si>
  <si>
    <t>TOTAL IMPUESTO A PAGAR</t>
  </si>
  <si>
    <t>VALORES A PAGAR Y FORMA DE PAGO (luego de imputación al pago en declaraciones sustitutivas)</t>
  </si>
  <si>
    <t>880</t>
  </si>
  <si>
    <t>PAGO DIRECTO EN CUENTA ÚNICA DEL TESORO NACIONAL (Uso Exclusivo para Instituciones y Empresas del Sector Público Autorizadas)</t>
  </si>
  <si>
    <t>MULTA</t>
  </si>
  <si>
    <t>IMPUESTO</t>
  </si>
  <si>
    <t>INTERES</t>
  </si>
  <si>
    <t>DETALLE DE IMPUTACIÓN AL PAGO (Para declaraciones sustitutivas)</t>
  </si>
  <si>
    <t>890</t>
  </si>
  <si>
    <t>PAGO PREVIO (Informativo)</t>
  </si>
  <si>
    <t>859</t>
  </si>
  <si>
    <t>(699+801)</t>
  </si>
  <si>
    <t>TOTAL CONSOLIDADO DE IMPUESTO AL VALOR AGREGADO</t>
  </si>
  <si>
    <t>801</t>
  </si>
  <si>
    <t>TOTAL IMPUESTO A PAGAR POR RETENCIÓN</t>
  </si>
  <si>
    <t>(-)</t>
  </si>
  <si>
    <t>800</t>
  </si>
  <si>
    <t>799</t>
  </si>
  <si>
    <t>(721+723+725+727+729+731)</t>
  </si>
  <si>
    <t>TOTAL IMPUESTO RETENIDO</t>
  </si>
  <si>
    <t>731</t>
  </si>
  <si>
    <t>729</t>
  </si>
  <si>
    <t>727</t>
  </si>
  <si>
    <t>725</t>
  </si>
  <si>
    <t>723</t>
  </si>
  <si>
    <t>721</t>
  </si>
  <si>
    <t>AGENTE DE RETENCIÓN DEL IMPUESTO AL VALOR AGREGADO</t>
  </si>
  <si>
    <t>699</t>
  </si>
  <si>
    <t>(620 + 621)</t>
  </si>
  <si>
    <t>621</t>
  </si>
  <si>
    <t>620</t>
  </si>
  <si>
    <t>SUBTOTAL A PAGAR</t>
  </si>
  <si>
    <t>619</t>
  </si>
  <si>
    <t>618</t>
  </si>
  <si>
    <t>617</t>
  </si>
  <si>
    <t>615</t>
  </si>
  <si>
    <t>SALDO CRÉDITO TRIBUTARIO PARA EL PRÓXIMO MES</t>
  </si>
  <si>
    <t>614</t>
  </si>
  <si>
    <t>613</t>
  </si>
  <si>
    <t>612</t>
  </si>
  <si>
    <t>(+)</t>
  </si>
  <si>
    <t>611</t>
  </si>
  <si>
    <t>610</t>
  </si>
  <si>
    <t>609</t>
  </si>
  <si>
    <t>608</t>
  </si>
  <si>
    <t>607</t>
  </si>
  <si>
    <t>606</t>
  </si>
  <si>
    <t>605</t>
  </si>
  <si>
    <t>(-) SALDO CRÉDITO TRIBUTARIO DEL MES ANTERIOR</t>
  </si>
  <si>
    <t>604</t>
  </si>
  <si>
    <t>603</t>
  </si>
  <si>
    <t>602</t>
  </si>
  <si>
    <t>601</t>
  </si>
  <si>
    <t>RESUMEN IMPOSITIVO AGENTE DE PERCEPCIÓN DEL IMPUESTO AL VALOR AGREGADO</t>
  </si>
  <si>
    <t>564</t>
  </si>
  <si>
    <r>
      <t>CRÉDITO TRIBUTARIO APLICABLE EN ESTE PERÍODO</t>
    </r>
    <r>
      <rPr>
        <sz val="9"/>
        <rFont val="Arial"/>
        <family val="2"/>
      </rPr>
      <t xml:space="preserve"> (De acuerdo al Factor de Proporcionalidad o a su Contabilidad) </t>
    </r>
  </si>
  <si>
    <t>563</t>
  </si>
  <si>
    <t xml:space="preserve">FACTOR DE PROPORCIONALIDAD PARA CRÉDITO TRIBUTARIO </t>
  </si>
  <si>
    <t>555</t>
  </si>
  <si>
    <t>545</t>
  </si>
  <si>
    <t>535</t>
  </si>
  <si>
    <t>554</t>
  </si>
  <si>
    <t>544</t>
  </si>
  <si>
    <t>543</t>
  </si>
  <si>
    <t>542</t>
  </si>
  <si>
    <t>532</t>
  </si>
  <si>
    <t>541</t>
  </si>
  <si>
    <t>531</t>
  </si>
  <si>
    <t>529</t>
  </si>
  <si>
    <t>519</t>
  </si>
  <si>
    <t>509</t>
  </si>
  <si>
    <t xml:space="preserve">TOTAL ADQUISICIONES Y PAGOS </t>
  </si>
  <si>
    <t>518</t>
  </si>
  <si>
    <t>508</t>
  </si>
  <si>
    <t>517</t>
  </si>
  <si>
    <t>507</t>
  </si>
  <si>
    <t>516</t>
  </si>
  <si>
    <t>506</t>
  </si>
  <si>
    <t>526</t>
  </si>
  <si>
    <t>525</t>
  </si>
  <si>
    <t>515</t>
  </si>
  <si>
    <t>505</t>
  </si>
  <si>
    <t>524</t>
  </si>
  <si>
    <t>514</t>
  </si>
  <si>
    <t>504</t>
  </si>
  <si>
    <t>523</t>
  </si>
  <si>
    <t>513</t>
  </si>
  <si>
    <t>503</t>
  </si>
  <si>
    <t>522</t>
  </si>
  <si>
    <t>512</t>
  </si>
  <si>
    <t>502</t>
  </si>
  <si>
    <t>521</t>
  </si>
  <si>
    <t>511</t>
  </si>
  <si>
    <t>501</t>
  </si>
  <si>
    <t>520</t>
  </si>
  <si>
    <t>510</t>
  </si>
  <si>
    <t>500</t>
  </si>
  <si>
    <t>IMPUESTO GENERADO</t>
  </si>
  <si>
    <t>VALOR NETO (VALOR BRUTO - N/C)</t>
  </si>
  <si>
    <t>VALOR BRUTO</t>
  </si>
  <si>
    <t>RESUMEN DE ADQUISICIONES Y PAGOS DEL PERÍODO QUE DECLARA</t>
  </si>
  <si>
    <t>499</t>
  </si>
  <si>
    <t>485</t>
  </si>
  <si>
    <t>484</t>
  </si>
  <si>
    <t>483</t>
  </si>
  <si>
    <t>482</t>
  </si>
  <si>
    <t>481</t>
  </si>
  <si>
    <r>
      <t xml:space="preserve">TOTAL IMPUESTO A LIQUIDAR EN ESTE MES                   
</t>
    </r>
    <r>
      <rPr>
        <sz val="9"/>
        <rFont val="Arial"/>
        <family val="2"/>
      </rPr>
      <t>SUMAR 483 + 484</t>
    </r>
  </si>
  <si>
    <r>
      <t xml:space="preserve">IMPUESTO A LIQUIDAR EN EL PRÓXIMO MES
</t>
    </r>
    <r>
      <rPr>
        <sz val="9"/>
        <rFont val="Arial"/>
        <family val="2"/>
      </rPr>
      <t>(482 - 484)</t>
    </r>
  </si>
  <si>
    <r>
      <t xml:space="preserve">IMPUESTO A LIQUIDAR DEL MES ANTERIOR 
</t>
    </r>
    <r>
      <rPr>
        <sz val="9"/>
        <rFont val="Arial"/>
        <family val="2"/>
      </rPr>
      <t>(Trasládese el campo 485 de la declaración del período anterior)</t>
    </r>
  </si>
  <si>
    <r>
      <t xml:space="preserve">TOTAL IMPUESTO GENERADO 
</t>
    </r>
    <r>
      <rPr>
        <sz val="9"/>
        <rFont val="Arial"/>
        <family val="2"/>
      </rPr>
      <t>Trasládese campo 429</t>
    </r>
  </si>
  <si>
    <t>TOTAL TRANSFERENCIAS GRAVADAS TARIFA DIFERENTE DE CERO 
A CRÉDITO ESTE MES</t>
  </si>
  <si>
    <t>TOTAL TRANSFERENCIAS GRAVADAS TARIFA DIFERENTE DE CERO 
A CONTADO ESTE MES</t>
  </si>
  <si>
    <t>454</t>
  </si>
  <si>
    <t>444</t>
  </si>
  <si>
    <t>434</t>
  </si>
  <si>
    <t>453</t>
  </si>
  <si>
    <t>443</t>
  </si>
  <si>
    <t>442</t>
  </si>
  <si>
    <t>441</t>
  </si>
  <si>
    <t>431</t>
  </si>
  <si>
    <t>429</t>
  </si>
  <si>
    <t>419</t>
  </si>
  <si>
    <t>409</t>
  </si>
  <si>
    <t>TOTAL VENTAS Y OTRAS OPERACIONES</t>
  </si>
  <si>
    <t>418</t>
  </si>
  <si>
    <t>408</t>
  </si>
  <si>
    <t>417</t>
  </si>
  <si>
    <t>407</t>
  </si>
  <si>
    <t>416</t>
  </si>
  <si>
    <t>406</t>
  </si>
  <si>
    <t>415</t>
  </si>
  <si>
    <t>405</t>
  </si>
  <si>
    <t>414</t>
  </si>
  <si>
    <t>404</t>
  </si>
  <si>
    <t>413</t>
  </si>
  <si>
    <t>403</t>
  </si>
  <si>
    <t>423</t>
  </si>
  <si>
    <t>422</t>
  </si>
  <si>
    <t>412</t>
  </si>
  <si>
    <t>402</t>
  </si>
  <si>
    <t>421</t>
  </si>
  <si>
    <t>411</t>
  </si>
  <si>
    <t>401</t>
  </si>
  <si>
    <t>RESUMEN DE VENTAS Y OTRAS OPERACIONES DEL PERÍODO QUE DECLARA</t>
  </si>
  <si>
    <t xml:space="preserve"> RAZÓN SOCIAL O APELLIDOS Y NOMBRES COMPLETOS</t>
  </si>
  <si>
    <t xml:space="preserve"> RUC</t>
  </si>
  <si>
    <t xml:space="preserve"> 200 IDENTIFICACIÓN DEL SUJETO PASIVO</t>
  </si>
  <si>
    <t xml:space="preserve"> Nº. DE FORMULARIO QUE SUSTITUYE</t>
  </si>
  <si>
    <t>AÑO</t>
  </si>
  <si>
    <t>MES</t>
  </si>
  <si>
    <t>IMPORTANTE: SÍRVASE LEER INSTRUCCIONES AL REVERSO</t>
  </si>
  <si>
    <t>100 IDENTIFICACIÓN DE LA DECLARACIÓN</t>
  </si>
  <si>
    <t>RESOLUCIÓN Nº XXX</t>
  </si>
  <si>
    <t xml:space="preserve">   No.</t>
  </si>
  <si>
    <t>DECLARACIÓN DEL IMPUESTO AL VALOR AGREGADO</t>
  </si>
  <si>
    <t>FORMULARIO 104</t>
  </si>
  <si>
    <t>DETALLE DE NOTAS DE CRÉDITO DESMATERIALIZADAS</t>
  </si>
  <si>
    <t>499-898</t>
  </si>
  <si>
    <t>PAGO PREVIO  ( Informativo)</t>
  </si>
  <si>
    <t>CAMPOS 399+498</t>
  </si>
  <si>
    <t>TOTAL DE RETENCIÓN DE IMPUESTO A LA RENTA</t>
  </si>
  <si>
    <t>SUBTOTAL OPERACIONES EFECTUADAS CON EL EXTERIOR</t>
  </si>
  <si>
    <t>OTROS PAGOS AL EXTERIOR NO SUJETOS A RETENCION</t>
  </si>
  <si>
    <t>OTROS CONCEPTOS DE INGRESOS GRAVADOS</t>
  </si>
  <si>
    <t>SERVICIOS TECNICOS, ADMINISTRATIVOS O DE CONSULTORIA Y REGALIAS</t>
  </si>
  <si>
    <t>SEGUROS Y REASEGUROS (PRIMAS Y CESIONES)</t>
  </si>
  <si>
    <t>ENAJENACION DE DERECHOS REPRESENTATIVOS DE CAPITAL Y OTROS DERECHOS</t>
  </si>
  <si>
    <t>DIVIDENDOS DISTRIBUIDOS A FIDEICOMISOS</t>
  </si>
  <si>
    <t>DIVIDENDOS DISTRIBUIDOS A SOCIEDADES</t>
  </si>
  <si>
    <t>DIVIDENDOS DISTRIBUIDOS A PERSONAS NATURALES</t>
  </si>
  <si>
    <t>ANTICIPO DE DIVIDENDOS</t>
  </si>
  <si>
    <t>INTERESES</t>
  </si>
  <si>
    <t>A PARAISOS FISCALES O REGIMENES FISCALES PREFERENTES</t>
  </si>
  <si>
    <t>INTERESES DE CREDITOS</t>
  </si>
  <si>
    <t>INTERESES POR FINANCIAMIENTO DE PROVEEDORES</t>
  </si>
  <si>
    <t>SIN CONVENIO DE DOBLE TRIBUTACIÓN</t>
  </si>
  <si>
    <t>INTERESES POR FINANCIAMIENTO DE PROVEEDORES EXTERNOS</t>
  </si>
  <si>
    <t>CON CONVENIO DE DOBLE TRIBUTACIÓN</t>
  </si>
  <si>
    <t>POR PAGOS AL EXTERIOR</t>
  </si>
  <si>
    <t>SUBTOTAL OPERACIONES EFECTUADAS EN EL PAIS</t>
  </si>
  <si>
    <t>APLICABLES EL 8%</t>
  </si>
  <si>
    <t>OTRAS RETENCIONES</t>
  </si>
  <si>
    <t>No. Cajas facturadas</t>
  </si>
  <si>
    <t>IMPUESTO ÚNICO A LA EXPORTACIÓN DE BANANO PRODUCIDO POR TERCEROS</t>
  </si>
  <si>
    <t>IMPUESTO ÚNICO A LA EXPORTACIÓN DE BANANO DE PRODUCCIÓN PROPIA - COMPONENTE 2</t>
  </si>
  <si>
    <t>IMPUESTO ÚNICO A LA EXPORTACIÓN DE BANANO DE PRODUCCIÓN PROPIA - COMPONENTE 1</t>
  </si>
  <si>
    <t>LIQUIDACIÓN IMPUESTO ÚNICO A LA VENTA LOCAL DE BANANO DE PRODUCCIÓN PROPIA</t>
  </si>
  <si>
    <t>COMPRA LOCAL DE BANANO A PRODUCTOR</t>
  </si>
  <si>
    <t>A DISTRIBUIDORES</t>
  </si>
  <si>
    <t>A COMERCIALIZADORAS</t>
  </si>
  <si>
    <t>VENTA DE COMBUSTIBLES</t>
  </si>
  <si>
    <t>DIVIDENDOS GRAVADOS DISTRIBUIDOS EN ACCIONES (REINVERSIÓN DE UTILIDADES SIN DERECHO A REDUCCIÓN TARIFA IR)</t>
  </si>
  <si>
    <t>DIVIDENDOS DISTRIBUIDOS A FIDEICOMISOS RESIDENTES</t>
  </si>
  <si>
    <t>DIVIDENDOS DISTRIBUIDOS A SOCIEDADES RESIDENTES</t>
  </si>
  <si>
    <t>DIVIDENDOS DISTRIBUIDOS A PERSONAS NATURALES RESIDENTES</t>
  </si>
  <si>
    <t>DIVIDENDOS DISTRIBUIDOS QUE CORRESPONDAN AL IMPUESTO A LA RENTA ÚNICO ESTABLECIDO EN EL ART. 27 DE LA LRTI</t>
  </si>
  <si>
    <t>ANTICIPO DIVIDENDOS</t>
  </si>
  <si>
    <t>RENDIMIENTOS FINANCIEROS ENTRE INSTITUCIONES DEL SISTEMA FINANCIERO Y ENTIDADES ECONOMIA POPULAR Y SOLIDARIA</t>
  </si>
  <si>
    <t>RENDIMIENTOS FINANCIEROS</t>
  </si>
  <si>
    <t>BIENES INMUEBLES</t>
  </si>
  <si>
    <t>MERCANTIL</t>
  </si>
  <si>
    <t xml:space="preserve">ARRENDAMIENTO </t>
  </si>
  <si>
    <t>POR REGALIAS, DERECHOS DE AUTOR, MARCAS, PATENTES Y SIMILARES</t>
  </si>
  <si>
    <t>TRANSFERENCIA DE BIENES MUEBLES DE NATURALEZA CORPORAL</t>
  </si>
  <si>
    <t>A TRAVES DE LIQUIDACIONES DE COMPRA (NIVEL CULTURAL O RUSTICIDAD)</t>
  </si>
  <si>
    <t>TRANSPORTE PRIVADO DE PASAJEROS O SERVICIO PÚBLICO O PRIVADO DE CARGA</t>
  </si>
  <si>
    <t>PUBLICIDAD Y COMUNICACIÓN</t>
  </si>
  <si>
    <t>UTILIZACION O APROVECHAMIENTO DE LA IMAGEN O RENOMBRE</t>
  </si>
  <si>
    <t>PREDOMINA MANO DE OBRA</t>
  </si>
  <si>
    <t>PREDOMINA EL INTELECTO</t>
  </si>
  <si>
    <t>HONORARIOS PROFESIONALES Y DIETAS</t>
  </si>
  <si>
    <t>SERVICIOS</t>
  </si>
  <si>
    <t>EN RELACIÓN DE DEPENDENCIA QUE SUPERA O NO LA BASE GRAVADA</t>
  </si>
  <si>
    <t>VALOR RETENIDO</t>
  </si>
  <si>
    <t>BASE IMPONIBLE</t>
  </si>
  <si>
    <t>DETALLE DE PAGOS Y RETENCIÓN POR IMPUESTO A LA RENTA</t>
  </si>
  <si>
    <t xml:space="preserve"> 200 IDENTIFICACIÓN DEL SUJETO PASIVO (AGENTE DE RETENCIÓN)</t>
  </si>
  <si>
    <t xml:space="preserve"> 100 IDENTIFICACIÓN DE LA DECLARACIÓN</t>
  </si>
  <si>
    <t>DECLARACIÓN DE RETENCIONES EN LA FUENTE DEL IMPUESTO A LA RENTA</t>
  </si>
  <si>
    <t>FORMULARIO 103</t>
  </si>
  <si>
    <t>Razon Social Contribuyente 
OPCIONAL</t>
  </si>
  <si>
    <t>Valor Compensacion Solidaria</t>
  </si>
  <si>
    <t>Total de Factura de Compra</t>
  </si>
  <si>
    <t xml:space="preserve"> Codig Identif.</t>
  </si>
  <si>
    <t>Tipo Cliente</t>
  </si>
  <si>
    <t>Cantidad de Comprobantes</t>
  </si>
  <si>
    <t>Tipo de Emision del Comprobante</t>
  </si>
  <si>
    <t>Tipo de Comprobante</t>
  </si>
  <si>
    <t>Codigo
Establecimiento</t>
  </si>
  <si>
    <t>Valor Retenido en IVA</t>
  </si>
  <si>
    <t>Valor Retenido en la Fuente</t>
  </si>
  <si>
    <t>Forma de COBRO 1</t>
  </si>
  <si>
    <t>Forma de COBRO 2</t>
  </si>
  <si>
    <t>F-Fisico</t>
  </si>
  <si>
    <t>01-Pais de residencia de quien proviene el INGRESO - REGIMEN GENERAL</t>
  </si>
  <si>
    <t>02-Pais de residencia de quien proviene el INGRESO - PARAISO FISCAL</t>
  </si>
  <si>
    <t>03-Denominacion del Regimen fiscal Preferente o Jurisdiccion de Menor Imposicion</t>
  </si>
  <si>
    <t>Pais al que se efectua la Exportacion</t>
  </si>
  <si>
    <t>Paraiso Fiscal de menor Imposicion</t>
  </si>
  <si>
    <t>Tipo de Exportacion</t>
  </si>
  <si>
    <t>Tipo de Ingreso del Exterior</t>
  </si>
  <si>
    <t>Ingreso Grava impuesto en Otro Pais.?</t>
  </si>
  <si>
    <t>Valor del Impuesto pagado en Otro Pais</t>
  </si>
  <si>
    <t>Distrito</t>
  </si>
  <si>
    <t>Regimenes</t>
  </si>
  <si>
    <t>Fecha de Registro Contable/Embarque</t>
  </si>
  <si>
    <t># de documento de transporte</t>
  </si>
  <si>
    <t># de FUE (vigente hasta el 2012)</t>
  </si>
  <si>
    <t>Año</t>
  </si>
  <si>
    <t>Correlativo</t>
  </si>
  <si>
    <t>Verificador (vigente hasta 2012)</t>
  </si>
  <si>
    <t>Valor FOB</t>
  </si>
  <si>
    <t>Valor FOB Comprobante Local</t>
  </si>
  <si>
    <t>No. Serie Establecimiento</t>
  </si>
  <si>
    <t>No. Serie Punto Emisión</t>
  </si>
  <si>
    <t>No. Serie Secuencial Desde</t>
  </si>
  <si>
    <t>No. Serie Secuencial Hasta</t>
  </si>
  <si>
    <t>01-Factura</t>
  </si>
  <si>
    <t>Cantidad</t>
  </si>
  <si>
    <t>Codigo</t>
  </si>
  <si>
    <t>Valor Retenido</t>
  </si>
  <si>
    <t>03-Liquidación de compra de Bienes o Prestación de servicios</t>
  </si>
  <si>
    <t>02-Nota o boleta de venta</t>
  </si>
  <si>
    <t>424</t>
  </si>
  <si>
    <t>527</t>
  </si>
  <si>
    <t>JAVIER VELIZ NAPA</t>
  </si>
  <si>
    <t>312B</t>
  </si>
  <si>
    <t>Impuesto a la Renta único para la actividad de producción y cultivo de palma aceitera</t>
  </si>
  <si>
    <t>323S</t>
  </si>
  <si>
    <t>Pagos y créditos en cuenta efectuados por el BCE y los depósitos centralizados de valores, en calidad de intermediarios, a instituciones del sistema financiero por cuenta de otras personas naturales y sociedades</t>
  </si>
  <si>
    <t>323T</t>
  </si>
  <si>
    <t>Rendimientos financieros originados en la deuda pública ecuatoriana</t>
  </si>
  <si>
    <t>323U</t>
  </si>
  <si>
    <t>Rendimientos financieros originados en títulos valores de obligaciones de 360 días o más para el financiamiento de proyectos públicos en asociación público-privada</t>
  </si>
  <si>
    <t>324C</t>
  </si>
  <si>
    <t>Pagos y créditos en cuenta efectuados por el BCE y los depósitos centralizados de valores, en calidad de intermediarios, a instituciones del sistema financiero por cuenta de otras instituciones del sistema financiero</t>
  </si>
  <si>
    <t>Otras retenciones aplicables el 1%</t>
  </si>
  <si>
    <t>343C</t>
  </si>
  <si>
    <t>Impuesto Redimible a las botellas plásticas - IRBP</t>
  </si>
  <si>
    <t>344B</t>
  </si>
  <si>
    <t>Adquisición de sustancias minerales dentro del territorio nacional</t>
  </si>
  <si>
    <t>Otras retenciones aplicables el 8%</t>
  </si>
  <si>
    <t xml:space="preserve">Otras retenciones aplicables a otros porcentajes </t>
  </si>
  <si>
    <t>346B</t>
  </si>
  <si>
    <t xml:space="preserve">Donaciones en dinero -Impuesto a la donaciones </t>
  </si>
  <si>
    <t>346C</t>
  </si>
  <si>
    <t>Retención a cargo del propio sujeto pasivo por la exportación de concentrados y/o elementos metálicos</t>
  </si>
  <si>
    <t>346D</t>
  </si>
  <si>
    <t>Retención a cargo del propio sujeto pasivo por la comercialización de productos forestales</t>
  </si>
  <si>
    <t>501A</t>
  </si>
  <si>
    <t>Pago a no residentes - Servicios técnicos, administrativos o de consultoría y regalías</t>
  </si>
  <si>
    <t>504I</t>
  </si>
  <si>
    <t>Pago a no residentes - Préstamos no comerciales a partes relacionadas  (no domiciladas en paraísos fiscales o regímenes de menor imposición)</t>
  </si>
  <si>
    <t>504J</t>
  </si>
  <si>
    <t>Pago a no residentes - Préstamos no comerciales a partes relacionadas  (domiciladas en paraísos fiscales o regímenes de menor imposición)</t>
  </si>
  <si>
    <t>Pago a no residentes- Donaciones en dinero -Impuesto a la donaciones</t>
  </si>
  <si>
    <t>364-Acta Entrega-Recepción PET</t>
  </si>
  <si>
    <t>370-Factura operadora transporte / socio</t>
  </si>
  <si>
    <t xml:space="preserve">371-Comprobante socio a operadora de transporte </t>
  </si>
  <si>
    <t>373-Nota de débito operadora transporte / socio</t>
  </si>
  <si>
    <t>372-Nota de crédito operadora transporte / socio</t>
  </si>
  <si>
    <t>00-Casos especiales cuyo sustento no aplica en las opciones anteriores</t>
  </si>
  <si>
    <t xml:space="preserve">Otras ganancias de capital distintas de enajenación de derechos representativos de capital </t>
  </si>
  <si>
    <t>Pago a no residentes- Dividendos distribuidos a personas naturales (domicilados o no en paraiso fiscal) o a sociedades sin beneficiario efectivo persona natural residente en Ecuador (ni domiciladas en paraíso fiscal)</t>
  </si>
  <si>
    <t>Pago a no residentes - Dividendos a fideicomisos con beneficiario efectivo persona natural residente en el Ecuador (no domiciliada en paraísos fiscales o regímenes de menor imposición)</t>
  </si>
  <si>
    <t>Pago a no residentes - Dividendos a sociedades domiciladas en paraísos fiscales o regímenes de menor imposición (con o sin beneficiario efectivo persona natural residente en el Ecuador)</t>
  </si>
  <si>
    <t>Pago a no residentes - Dividendos a fideicomisos domiciladas en paraísos fiscales o regímenes de menor imposición (con o sin beneficiario efectivo persona natural residente en el Ecuador)</t>
  </si>
  <si>
    <t>Pago a no residentes - Anticipo dividendos (no domiciliada en paraísos fiscales o regímenes de menor imposición)</t>
  </si>
  <si>
    <t>Pago a no residentes - Anticipo dividendos (domiciliadas en paraísos fiscales o regímenes de menor imposición)</t>
  </si>
  <si>
    <t>Pago a no residentes - Préstamos accionistas, beneficiarios o partìcipes (no domiciladas en paraísos fiscales o regímenes de menor imposición)</t>
  </si>
  <si>
    <t>Pago a no residentes - Préstamos accionistas, beneficiarios o partìcipes (domiciladas en paraísos fiscales o regímenes de menor imposición)</t>
  </si>
  <si>
    <t xml:space="preserve">Pago a no residentes - Seguros y reaseguros (primas y cesiones)  </t>
  </si>
  <si>
    <t>14-Valores facturados por socios a operadoras de transporte (que no constituyen gasto de dicha operadora)</t>
  </si>
  <si>
    <t>Fecha de Pago Dividendos Ret2</t>
  </si>
  <si>
    <t>Impto. Renta Sociedades Ret.2</t>
  </si>
  <si>
    <t>Tipo de Emision de la Retencion</t>
  </si>
  <si>
    <t>No. Establecimiento_1</t>
  </si>
  <si>
    <t>No. Establecimiento_2</t>
  </si>
  <si>
    <t>No. Establecimiento_3</t>
  </si>
  <si>
    <t>No. Establecimiento_4</t>
  </si>
  <si>
    <t>No. Establecimiento_5</t>
  </si>
  <si>
    <t>&lt;== No. de establecimientos ACTIVO # 1</t>
  </si>
  <si>
    <t>&lt;== No. de establecimientos ACTIVO # 2</t>
  </si>
  <si>
    <t>&lt;== No. de establecimientos ACTIVO # 3</t>
  </si>
  <si>
    <t>&lt;== No. de establecimientos ACTIVO # 4</t>
  </si>
  <si>
    <t>&lt;== No. de establecimientos ACTIVO # 5</t>
  </si>
  <si>
    <t>Fecha de Registro</t>
  </si>
  <si>
    <t>Ret. Fuente
Base Imponible 1</t>
  </si>
  <si>
    <t>Ret. Fuente
Base Imponible 3</t>
  </si>
  <si>
    <t>Ret. Fuente
Base Imponible 2</t>
  </si>
  <si>
    <t>Ret. Fuente
Valor Retenido 1</t>
  </si>
  <si>
    <t>Ret. Fuente
Valor Retenido 2</t>
  </si>
  <si>
    <t>Ret. Fuente
Valor Retenido 3</t>
  </si>
  <si>
    <t>Ret. IVA
Base Imponible 10%</t>
  </si>
  <si>
    <t>Ret. IVA
Valor Retenido 10%</t>
  </si>
  <si>
    <t>Ret. IVA
Base Imponible 20%</t>
  </si>
  <si>
    <t>Ret. IVA
Valor Retenido 20%</t>
  </si>
  <si>
    <t>Ret. IVA
Base Imponible 30%</t>
  </si>
  <si>
    <t>Ret. IVA
Valor Retenido 30%</t>
  </si>
  <si>
    <t>Ret. IVA
Base Imponible 50%</t>
  </si>
  <si>
    <t>Ret. IVA
Valor Retenido 50%</t>
  </si>
  <si>
    <t>Ret. IVA
Base Imponible 70%</t>
  </si>
  <si>
    <t>Ret. IVA
Valor Retenido 70%</t>
  </si>
  <si>
    <t>Ret. IVA
Base Imponible 100%</t>
  </si>
  <si>
    <t>Ret. IVA
Valor Retenido 100%</t>
  </si>
  <si>
    <t>RETENCIONES AL IMPUESTO AL VALOR AGREGADO (IVA)</t>
  </si>
  <si>
    <t>RETENCIONES DE IMPUESTO A LA RENTA (FUENTE)</t>
  </si>
  <si>
    <t>Pagos a través de liquidación de compra (nivel cultural o rusticidad)</t>
  </si>
  <si>
    <t>Cuotas de arrendamiento mercantil (prestado por sociedades), inclusive la de opción de compra</t>
  </si>
  <si>
    <t>Arrendamiento bienes inmuebles</t>
  </si>
  <si>
    <t>Rendimientos financieros pagados a naturales y sociedades  (No a IFIs)</t>
  </si>
  <si>
    <t>Rendimientos financieros depósitos Cta. Corriente</t>
  </si>
  <si>
    <t>Rendimientos financieros  depósitos Cta. Ahorros Sociedades</t>
  </si>
  <si>
    <t>Rendimientos financieros depósito a plazo fijo  gravados</t>
  </si>
  <si>
    <t>Rendimientos financieros depósito a plazo fijo exentos</t>
  </si>
  <si>
    <t>Rendimientos financieros operaciones de reporto - repos</t>
  </si>
  <si>
    <t>Inversiones (captaciones) rendimientos distintos de aquellos pagados a IFIs</t>
  </si>
  <si>
    <t>Rendimientos financieros  obligaciones</t>
  </si>
  <si>
    <t>Rendimientos financieros  bonos convertible en acciones</t>
  </si>
  <si>
    <t xml:space="preserve">Rendimientos financieros : Inversiones en títulos valores en renta fija gravados </t>
  </si>
  <si>
    <t>Rendimientos financieros  Inversiones en títulos valores en renta fija exentos</t>
  </si>
  <si>
    <t>Intereses y demás rendimientos financieros pagados a bancos y otras entidades sometidas al control de la Superintendencia de Bancos y de la Economía Popular y Solidaria</t>
  </si>
  <si>
    <t xml:space="preserve"> Intereses pagados por entidades del sector público a favor de sujetos pasivos</t>
  </si>
  <si>
    <t xml:space="preserve">Otros intereses y rendimientos financieros gravados </t>
  </si>
  <si>
    <t>Otros intereses y rendimientos financieros exentos</t>
  </si>
  <si>
    <t xml:space="preserve"> Intereses en operaciones de crédito entre instituciones del sistema financiero y entidades economía popular y solidaria. </t>
  </si>
  <si>
    <t>Inversiones entre instituciones del sistema financiero y entidades economía popular y solidaria</t>
  </si>
  <si>
    <t>Ganancia en la enajenación de derechos representativos de capital u otros derechos que permitan la exploración, explotación, concesión o similares de sociedades, que se coticen en bolsa de valores del Ecuador</t>
  </si>
  <si>
    <t>Contraprestación producida por la enajenación de derechos representativos de capital u otros derechos que permitan la exploración, explotación, concesión o similares de sociedades, no cotizados en bolsa de valores del Ecuador</t>
  </si>
  <si>
    <t>Venta de combustibles a comercializadoras</t>
  </si>
  <si>
    <t>Venta de combustibles a distribuidores</t>
  </si>
  <si>
    <t>Energía eléctrica</t>
  </si>
  <si>
    <t>Actividades de construcción de obra material inmueble, urbanización, lotización o actividades similares</t>
  </si>
  <si>
    <t>Pago local tarjeta de crédito /débito reportada por la Emisora de tarjeta de crédito / entidades del sistema financiero</t>
  </si>
  <si>
    <t>Pago a no residentes- Dividendos distribuidos a personas naturales (domicilados o no en paraiso fiscal) o a sociedades sin beneficiario efectivo persona natural residente en Ecuador</t>
  </si>
  <si>
    <t>Pago a no residentes - Dividendos a fideicomisos domiciladas en paraísos fiscales o regímenes de menor imposición (con beneficiario efectivo persona natural residente en el Ecuador)</t>
  </si>
  <si>
    <t>Pago a no residentes - Intereses por financiamiento de proveedores externos</t>
  </si>
  <si>
    <t>Pago a no residentes - Intereses de otros créditos externos</t>
  </si>
  <si>
    <t>Pago a no residentes - Por las empresas de transporte marítimo o aéreo y por empresas pesqueras de alta mar, por su actividad.</t>
  </si>
  <si>
    <t xml:space="preserve">Pago a no residentes - Otros pagos al exterior no sujetos a retención </t>
  </si>
  <si>
    <t>15-Pagos efectuados por consumos propios y de terceros de servicios digitales</t>
  </si>
  <si>
    <t>13-Documentos emitidos por compañías de seguros</t>
  </si>
  <si>
    <t>14-Comprobantes emitidos por empresas de telecomunicaciones</t>
  </si>
  <si>
    <t>Impuesto único a ingresos provenientes de actividades agropecuarias en etapa de producción / comercialización local o exportación</t>
  </si>
  <si>
    <t>IMPUESTO ÚNICO A INGRESOS PROVENIENTES DE ACTIVIDADES AGROPECUARIAS EN ETAPA DE PRODUCCIÓN / COMERCIALIZACIÓN LOCAL O EXPORTACIÓN</t>
  </si>
  <si>
    <t>Otras autoretenciones</t>
  </si>
  <si>
    <t>Otras retenciones aplicables el 2.75%</t>
  </si>
  <si>
    <t>APLICABLES EL 2.75%</t>
  </si>
  <si>
    <t>Dividendos en acciones (capitalización de utilidades)</t>
  </si>
  <si>
    <t>PRODUCCIÓN Y VENTA LOCAL DE BANANO PRODUCIDO O NO POR EL MISMO SUJETO PASIVO</t>
  </si>
  <si>
    <t>IMPUESTO ÚNICO A LA EXPORTACIÓN DE BANANO</t>
  </si>
  <si>
    <t>DIVIDENDOS SIN BENEFICIARIO EFECTIVO PERSONA NATURAL RESIDENTE EN ECUADOR</t>
  </si>
  <si>
    <t>DIVIDENDOS CON BENEFICIARIO EFECTIVO PERSONA NATURAL RESIDENTE EN ECUADOR</t>
  </si>
  <si>
    <t>DIVIDENDOS INCUMPLIENDO EL DEBER DE INFORMAR LA COMPOSICION SOCIETARIA</t>
  </si>
  <si>
    <t>Dividendos a residentes o establecidos en paraísos fiscales o regímenes de menor imposición (con beneficiario Persona Natural residente en Ecuador)</t>
  </si>
  <si>
    <t>Dividendos a no residentes incumpliendo el deber de informar la composición societaria</t>
  </si>
  <si>
    <t>Dividendos a sociedades con beneficiario efectivo persona natural residente en el Ecuador</t>
  </si>
  <si>
    <t>LOURDES GOMEZ SOLIS</t>
  </si>
  <si>
    <t>demostracion@srianexos.com</t>
  </si>
  <si>
    <t>No. Establecimiento_6</t>
  </si>
  <si>
    <t>No. Establecimiento_7</t>
  </si>
  <si>
    <t>No. Establecimiento_8</t>
  </si>
  <si>
    <t>No. Establecimiento_9</t>
  </si>
  <si>
    <t>No. Establecimiento_10</t>
  </si>
  <si>
    <t>&lt;== No. de establecimientos ACTIVO # 6</t>
  </si>
  <si>
    <t>&lt;== No. de establecimientos ACTIVO # 7</t>
  </si>
  <si>
    <t>&lt;== No. de establecimientos ACTIVO # 8</t>
  </si>
  <si>
    <t>&lt;== No. de establecimientos ACTIVO # 9</t>
  </si>
  <si>
    <t>&lt;== No. de establecimientos ACTIVO # 10</t>
  </si>
  <si>
    <t>Tipo de ACTIVIDAD</t>
  </si>
  <si>
    <t>Monto de Propina</t>
  </si>
  <si>
    <t>Mes declarado</t>
  </si>
  <si>
    <t>Monto Propina</t>
  </si>
  <si>
    <t>Fecha de Registro de Anulacion</t>
  </si>
  <si>
    <t>SELECCIONE PERIODO</t>
  </si>
  <si>
    <t>DETALLE DE VENTAS</t>
  </si>
  <si>
    <t>Retenciones de IVA  RECIBIDAS (Ventas)</t>
  </si>
  <si>
    <t>Retenciones de Impto. a la Renta RECIBIDAS (Ventas)</t>
  </si>
  <si>
    <t>DETALLE DE COMPRAS</t>
  </si>
  <si>
    <t>Retenciones de IVA  EMITIDAS (Compras)</t>
  </si>
  <si>
    <t>Retenciones de Impto. a la Renta EMITIDAS (Compras)</t>
  </si>
  <si>
    <t>Factor proporcional I.V.A.</t>
  </si>
  <si>
    <t>I.V.A. en
compras utilizado</t>
  </si>
  <si>
    <t>I.V.A. 
Causado x Pagar</t>
  </si>
  <si>
    <t>Credito Tributario de I.V.A. por Compras en el presente mes</t>
  </si>
  <si>
    <t>Credito Trib. I.V.A. del Periodo Anterior</t>
  </si>
  <si>
    <t>Retenciones de IVA en Ventas del Presente Periodo</t>
  </si>
  <si>
    <t>Credito Trib. I.V.A. para el mes Siguiente</t>
  </si>
  <si>
    <t>Impuesto a pagar en el Periodo como Agente de Percepcion</t>
  </si>
  <si>
    <t>Impuesto a pagar en el Periodo como Agente de Retencion</t>
  </si>
  <si>
    <t>Total Valor a Pagar formulario 104</t>
  </si>
  <si>
    <t xml:space="preserve">Mes </t>
  </si>
  <si>
    <t>No. declaracion</t>
  </si>
  <si>
    <t>Base Imponible de Ventas</t>
  </si>
  <si>
    <t>Subtotal Base Imponible en Ventas</t>
  </si>
  <si>
    <t>Total de Ventas</t>
  </si>
  <si>
    <t>Base Imponible de Compras NO Gravable</t>
  </si>
  <si>
    <t>Base Imponible de Compras Gravable</t>
  </si>
  <si>
    <t>Subtotal Base Imponible en Compras</t>
  </si>
  <si>
    <t>I.V.A. en
compras por GASTO</t>
  </si>
  <si>
    <t>I.V.A. en
compras para CREDITO TRIBUTARIO</t>
  </si>
  <si>
    <t>Total de IVA en Compras</t>
  </si>
  <si>
    <t>Total de Compras</t>
  </si>
  <si>
    <t xml:space="preserve">Por    Compras </t>
  </si>
  <si>
    <t>Por Retenciones</t>
  </si>
  <si>
    <t>1-VIVIENDA</t>
  </si>
  <si>
    <t>2-VESTIMENTA</t>
  </si>
  <si>
    <t>3-SALUD</t>
  </si>
  <si>
    <t>4-EDUCACION</t>
  </si>
  <si>
    <t>5-ALIMENTACION</t>
  </si>
  <si>
    <t>DETALLE DE GASTOS PERSONALES</t>
  </si>
  <si>
    <t>E-Electronico</t>
  </si>
  <si>
    <t>Tipo de
Documento</t>
  </si>
  <si>
    <t>Base Imponible 0%</t>
  </si>
  <si>
    <t>Base Imponible con tarifa de IVA</t>
  </si>
  <si>
    <t>Valor de IVA</t>
  </si>
  <si>
    <t>Otros</t>
  </si>
  <si>
    <t>Periodo Declarado en 103</t>
  </si>
  <si>
    <t>111</t>
  </si>
  <si>
    <t>113</t>
  </si>
  <si>
    <t>TOTAL COMPROBANTES DE VENTA EMITIDOS</t>
  </si>
  <si>
    <t>TOTAL COMPROBANTES DE VENTAS ANULADOS</t>
  </si>
  <si>
    <t>115</t>
  </si>
  <si>
    <t>117</t>
  </si>
  <si>
    <t>119</t>
  </si>
  <si>
    <t>TOTAL COMPROBANTES DE VENTA RECIBIDOS POR
ADQUISICIONES Y PAGOS (excepto notas de venta)</t>
  </si>
  <si>
    <t>TOTAL NOTAS DE VENTA RECIBIDAS</t>
  </si>
  <si>
    <t>DETALLE DE COMPROBANTES ANULADOS</t>
  </si>
  <si>
    <t>DETALLE DE EXPORTACIONES</t>
  </si>
  <si>
    <t>DETALLE DE REEMBOLSOS POR COMPRAS</t>
  </si>
  <si>
    <t>ACT. EMPRESARIALES CON REGISTRO DE INGRESOS Y EGRESOS</t>
  </si>
  <si>
    <t>ARRIENDO DE BIENES INMUEBLES</t>
  </si>
  <si>
    <t>ARRIENDO DE OTROS ACTIVOS</t>
  </si>
  <si>
    <t>DIVIDENDOS</t>
  </si>
  <si>
    <t>INGRESO POR REGALÍAS</t>
  </si>
  <si>
    <t>INGRESOS PROVENIENTES DEL EXTERIOR</t>
  </si>
  <si>
    <t>INGRESOS SUJETOS A IMPUESTO A LA RENTA ÚNICO</t>
  </si>
  <si>
    <t>LIBRE EJERCICIO PROFESIONAL</t>
  </si>
  <si>
    <t>OCUPACIÓN LIBERAL (COMISIONISTAS, ARTESANOS, AGENTES, REPRE. Y AUTÓNOMOS)</t>
  </si>
  <si>
    <t>OTRAS RENTAS GRAVADAS</t>
  </si>
  <si>
    <t>RELACION DE DEPENDENCIA</t>
  </si>
  <si>
    <t>RENTAS AGRÍCOLAS</t>
  </si>
  <si>
    <t>UTILIDAD EN LA ENAJENACIÓN DE DERECHOS REPRESENTATIVOS DE CAPITAL</t>
  </si>
  <si>
    <t>LIQUIDACIÓN DEL 12 EN EL MES</t>
  </si>
  <si>
    <t>DETALLE DE IMPUTACIÓN AL PAGO (Para declaraciones sustitut12s)</t>
  </si>
  <si>
    <t>VALORES A PAGAR Y FORMA DE PAGO (luego de imputación al pago en declaraciones sustitut12s)</t>
  </si>
  <si>
    <t>Monto de I.C.E. incluido en Base Imp.</t>
  </si>
  <si>
    <t>Monto de I.C.E. NO incluido en Base Imp.</t>
  </si>
  <si>
    <t>Tipo de Emision de la Retencion Recibida</t>
  </si>
  <si>
    <t>Base Imponible EXENTA</t>
  </si>
  <si>
    <t>Periodo Declarado Form104</t>
  </si>
  <si>
    <t>Periodo Declarado Form. 104</t>
  </si>
  <si>
    <t>-------------------- (Obligatorio si es PASAPORTE el ID)  --------------------</t>
  </si>
  <si>
    <t>--------------------------------------------------------------------------  Datos del documento de compra --------------------------------------------------------------------------</t>
  </si>
  <si>
    <t>-------- Datos del documento modificado en la N/C - N/D --------</t>
  </si>
  <si>
    <t>---------- Valores Retenidos - Codigo Ret. #1 ----------</t>
  </si>
  <si>
    <t>--- Datos del Dividendo retenido - Ret. #1 ---</t>
  </si>
  <si>
    <t>---------- Valores Retenidos - Codigo Ret. #2 ----------</t>
  </si>
  <si>
    <t>--- Datos del Dividendo retenido - Ret. #2 ---</t>
  </si>
  <si>
    <t>-- Cajas de Banano - Ret. #2 --</t>
  </si>
  <si>
    <t>-- Cajas de Banano - Ret. #1 --</t>
  </si>
  <si>
    <t>TOTALES</t>
  </si>
  <si>
    <t xml:space="preserve"> ---- Formas de Cobros ------</t>
  </si>
  <si>
    <t xml:space="preserve"> ---------- -------------------------------------------------  Datos del documento soporte de la compra por reembolsos  ----------------------------------------------------------- </t>
  </si>
  <si>
    <t xml:space="preserve"> - Datos de Bases Imponibles de los documentos de Reembolsos -</t>
  </si>
  <si>
    <t>Numero de Factura COMPRA Principal &lt;&lt; secuencial columna J &gt;&gt;</t>
  </si>
  <si>
    <t>-------------------- (Obligatorio Razon Social)  --------------------</t>
  </si>
  <si>
    <t>-------------------------------------------------  Datos del documento de EXPORTACION ----------------------------------------------------</t>
  </si>
  <si>
    <t>---- Bases Imponibles para Formulario 104 ----</t>
  </si>
  <si>
    <t>Periodo Contable:</t>
  </si>
  <si>
    <t>COMPRAS</t>
  </si>
  <si>
    <t>Transacción</t>
  </si>
  <si>
    <t>TOTAL</t>
  </si>
  <si>
    <t>VENTAS</t>
  </si>
  <si>
    <t>EXPORTACIONES</t>
  </si>
  <si>
    <t xml:space="preserve">Factura </t>
  </si>
  <si>
    <t>Comprobante de venta emitido por reembolso</t>
  </si>
  <si>
    <t>COMPROBANTES ANULADOS</t>
  </si>
  <si>
    <t>COMPRA</t>
  </si>
  <si>
    <t>Retención IVA 10%</t>
  </si>
  <si>
    <t>Retención IVA 20%</t>
  </si>
  <si>
    <t>Retención IVA 50%</t>
  </si>
  <si>
    <t>VENTA</t>
  </si>
  <si>
    <t>Firma del Contador</t>
  </si>
  <si>
    <t>Firma del Representante Legal</t>
  </si>
  <si>
    <t>Cód.</t>
  </si>
  <si>
    <t>Nº Registros</t>
  </si>
  <si>
    <t>Valor IVA</t>
  </si>
  <si>
    <t xml:space="preserve">Nota o boleta de venta </t>
  </si>
  <si>
    <t xml:space="preserve">Liquidación de compra de Bienes o Prestación de servicios </t>
  </si>
  <si>
    <t>N/C Compras</t>
  </si>
  <si>
    <t>N/D Compras</t>
  </si>
  <si>
    <t>Boletos o entradas a espectáculos públicos</t>
  </si>
  <si>
    <t>Tiquetes o vales emitidos por máquinas registradoras</t>
  </si>
  <si>
    <t>Pasajes expedidos por empresas de aviación</t>
  </si>
  <si>
    <t>Documentos emitidos por instituciones financieras</t>
  </si>
  <si>
    <t>13</t>
  </si>
  <si>
    <t>Documentos emitidos por compañías de seguros</t>
  </si>
  <si>
    <t>14</t>
  </si>
  <si>
    <t>Comprobantes emitidos por empresas de telecomunicaciones</t>
  </si>
  <si>
    <t>Comprobantes  de venta emitidos en exterior</t>
  </si>
  <si>
    <t>Comprobantes de Pago de Cuotas o Aportes</t>
  </si>
  <si>
    <t>Documentos por Servicios Administrativos emitidos por Inst. del Estado</t>
  </si>
  <si>
    <t>Carta de Porte Aéreo</t>
  </si>
  <si>
    <t>Documento retención presuntiva y retención emitida por propio vendedor o por intermediario</t>
  </si>
  <si>
    <t>Liquidacion para Explotacion y Exploracion de Hidrocarburos</t>
  </si>
  <si>
    <t>Liquidación de medicina prepagada</t>
  </si>
  <si>
    <t>N/C por Reembolso Emitida por Intermediario</t>
  </si>
  <si>
    <t>N/D por Reembolso Emitida por Intermediario</t>
  </si>
  <si>
    <t>Liquidación de compra de Bienes Muebles Usados</t>
  </si>
  <si>
    <t xml:space="preserve">Liquidación de compra de vehículos usados </t>
  </si>
  <si>
    <t>Acta Entrega-Recepción PET</t>
  </si>
  <si>
    <t xml:space="preserve">Comprobante socio a operadora de transporte </t>
  </si>
  <si>
    <t>Nota de  crédito  operadora transporte / socio</t>
  </si>
  <si>
    <t>Nota de  débito  operadora transporte / socio</t>
  </si>
  <si>
    <t>Liquidación de compra RISE de bienes o prestación de servicios</t>
  </si>
  <si>
    <t>N/C Ventas</t>
  </si>
  <si>
    <t>N/D Ventas</t>
  </si>
  <si>
    <t xml:space="preserve">Documentos autorizados utilizados en ventas excepto N/C N/D </t>
  </si>
  <si>
    <t xml:space="preserve">Comprobante de contribuciones y aportes </t>
  </si>
  <si>
    <t>Proveedor Directo de Exportador Bajo Régimen Especial</t>
  </si>
  <si>
    <t>A Inst. Estado y Empr. Públicas que percibe ingreso exento de Imp. Renta</t>
  </si>
  <si>
    <t>N/C A Inst. Estado y Empr. Públicas que percibe ingreso exento de Imp. Renta</t>
  </si>
  <si>
    <t>N/D A Inst. Estado y Empr. Públicas que percibe ingreso exento de Imp. Renta</t>
  </si>
  <si>
    <t>370</t>
  </si>
  <si>
    <t>Factura operadora transporte / socio</t>
  </si>
  <si>
    <t>371</t>
  </si>
  <si>
    <t>372</t>
  </si>
  <si>
    <t>373</t>
  </si>
  <si>
    <t>Valor FOB del Comprobante</t>
  </si>
  <si>
    <t>Factura</t>
  </si>
  <si>
    <t>Notas de Crédito Exportación</t>
  </si>
  <si>
    <t>Notas de Débito Exportación</t>
  </si>
  <si>
    <t>Formulario Único de Exportación (FUE) o Declaración Aduanera Única (DAU) o DAV</t>
  </si>
  <si>
    <t>Total de Comprobantes Anulados en el período informado (no incluye los dados de baja)</t>
  </si>
  <si>
    <t>RESUMEN DE RETENCIONES - AGENTE DE RETENCION</t>
  </si>
  <si>
    <t>RETENCION EN LA FUENTE DE IMPUESTO A LA RENTA</t>
  </si>
  <si>
    <t xml:space="preserve">Concepto de Retención </t>
  </si>
  <si>
    <t xml:space="preserve">Base Imponible </t>
  </si>
  <si>
    <t>RETENCION EN LA FUENTE DE IVA</t>
  </si>
  <si>
    <t>Operación</t>
  </si>
  <si>
    <t>Retención IVA 30%</t>
  </si>
  <si>
    <t>Retención IVA 70%</t>
  </si>
  <si>
    <t>Retención IVA 100%</t>
  </si>
  <si>
    <t>Retención IVA Nota de Crédito Devolucion</t>
  </si>
  <si>
    <t>RESUMEN DE RETENCIONES QUE LE EFECTUARON EN EL PERIODO</t>
  </si>
  <si>
    <t>Tipo de Retención que le efectuaron</t>
  </si>
  <si>
    <t>Valor de IVA que le han retenido</t>
  </si>
  <si>
    <t>Valor de Renta que le han retenido</t>
  </si>
  <si>
    <t>EMPRESA EMISORA TARJETA DE CREDITO</t>
  </si>
  <si>
    <t>Total Consumo</t>
  </si>
  <si>
    <t>RECAP</t>
  </si>
  <si>
    <t>Notas de Crédito TC</t>
  </si>
  <si>
    <t>Notas de Débito TC</t>
  </si>
  <si>
    <t>RESUMEN DE RETENCIONES QUE EFECTUO EN EL PERIODO</t>
  </si>
  <si>
    <t>Tipo de Retención que efectuó</t>
  </si>
  <si>
    <t>TC</t>
  </si>
  <si>
    <t>Valor de IVA que retuvo</t>
  </si>
  <si>
    <t>Valor de Renta que retuvo</t>
  </si>
  <si>
    <t>Pago a no residentes - Rendimientos financieros</t>
  </si>
  <si>
    <t>Pago a no residentes – Intereses de créditos de Instituciones Financieras del exterior</t>
  </si>
  <si>
    <t>Pago a no residentes – Intereses de créditos de gobierno a gobierno</t>
  </si>
  <si>
    <t>Pago a no residentes – Intereses de créditos de organismos multilaterales</t>
  </si>
  <si>
    <t>Pago a no residentes - Otros Intereses y Rendimientos Financieros</t>
  </si>
  <si>
    <t>TRANSACCIONES EXENTAS</t>
  </si>
  <si>
    <t>Ahorros Personas Naturales</t>
  </si>
  <si>
    <t>Cuentas Exentas</t>
  </si>
  <si>
    <t>TOTAL TRANSACCIONES EXENTAS</t>
  </si>
  <si>
    <t>FONDOS Y FIDEICOMISOS</t>
  </si>
  <si>
    <t>Tipo de fideicomiso</t>
  </si>
  <si>
    <t>Total Beneficio Individual</t>
  </si>
  <si>
    <t>Fideicomiso Mercantil Inmobiliario</t>
  </si>
  <si>
    <t>Fondos De Inversión</t>
  </si>
  <si>
    <t>Fideicomisos Mercantiles De Administración</t>
  </si>
  <si>
    <t>Fideicomisos Mercantiles De Inversión</t>
  </si>
  <si>
    <t>Fideicomisos Mercantiles Inmobiliarios</t>
  </si>
  <si>
    <t>Fideicomisos Mercantiles De Garantías</t>
  </si>
  <si>
    <t>Fideicomiso Mercantil de Titularización</t>
  </si>
  <si>
    <t>Fideicomiso Mercantil De Titularización</t>
  </si>
  <si>
    <t>Fideicomiso Mercantil De Inversión</t>
  </si>
  <si>
    <t>Fideicomiso Mercantil De Administración</t>
  </si>
  <si>
    <t>Fideicomiso Mercantil De Garantías</t>
  </si>
  <si>
    <t>Fondo Complementario</t>
  </si>
  <si>
    <t>Declaro que los datos contenidos en este anexo son verdaderos, por lo que asumo la responsabilidad correspondiente, de acuerdo a lo establecido en el Art. 101 de la Codificación  de la Ley de Régimen Tributario Interno</t>
  </si>
  <si>
    <t>294</t>
  </si>
  <si>
    <t>344</t>
  </si>
  <si>
    <t>364</t>
  </si>
  <si>
    <t>374</t>
  </si>
  <si>
    <t>375</t>
  </si>
  <si>
    <t>304</t>
  </si>
  <si>
    <t>323</t>
  </si>
  <si>
    <t>10</t>
  </si>
  <si>
    <t>17</t>
  </si>
  <si>
    <t>-</t>
  </si>
  <si>
    <t>TALÓN RESUMEN</t>
  </si>
  <si>
    <t>SERVICIO DE RENTAS INTERNAS</t>
  </si>
  <si>
    <t>ANEXO TRANSACCIONAL</t>
  </si>
  <si>
    <t xml:space="preserve">TOTAL: </t>
  </si>
  <si>
    <t>BI tarifa 
0%</t>
  </si>
  <si>
    <t>BI tarifa 
diferente de 0%</t>
  </si>
  <si>
    <t>BI tarifa 
No Objeto IVA</t>
  </si>
  <si>
    <t>Total</t>
  </si>
  <si>
    <t>Rendimiento Generado</t>
  </si>
  <si>
    <t>Concepto de Rendimiento que generó la Retención</t>
  </si>
  <si>
    <t>BI tarifa 
Exenta</t>
  </si>
  <si>
    <t>375-Liquidación de compra RISE de bienes o prestación de servicios</t>
  </si>
  <si>
    <t>374-Nota de débito operadora transporte / socio</t>
  </si>
  <si>
    <t>303</t>
  </si>
  <si>
    <t>307</t>
  </si>
  <si>
    <t>308</t>
  </si>
  <si>
    <t>309</t>
  </si>
  <si>
    <t>310</t>
  </si>
  <si>
    <t>311</t>
  </si>
  <si>
    <t>312</t>
  </si>
  <si>
    <t>319</t>
  </si>
  <si>
    <t>320</t>
  </si>
  <si>
    <t>322</t>
  </si>
  <si>
    <t>325</t>
  </si>
  <si>
    <t>326</t>
  </si>
  <si>
    <t>327</t>
  </si>
  <si>
    <t>328</t>
  </si>
  <si>
    <t>329</t>
  </si>
  <si>
    <t>331</t>
  </si>
  <si>
    <t>332</t>
  </si>
  <si>
    <t>333</t>
  </si>
  <si>
    <t>334</t>
  </si>
  <si>
    <t>335</t>
  </si>
  <si>
    <t>336</t>
  </si>
  <si>
    <t>337</t>
  </si>
  <si>
    <t>338</t>
  </si>
  <si>
    <t>339</t>
  </si>
  <si>
    <t>340</t>
  </si>
  <si>
    <t>341</t>
  </si>
  <si>
    <t>342</t>
  </si>
  <si>
    <t>343</t>
  </si>
  <si>
    <t>3440</t>
  </si>
  <si>
    <t>345</t>
  </si>
  <si>
    <t>346</t>
  </si>
  <si>
    <t>348</t>
  </si>
  <si>
    <t>350</t>
  </si>
  <si>
    <t>RET_COM_FTE</t>
  </si>
  <si>
    <t>RECAPS</t>
  </si>
  <si>
    <t>FIDEICOMISOS</t>
  </si>
  <si>
    <t>RET_COM_IVA10</t>
  </si>
  <si>
    <t>RET_COM_IVA20</t>
  </si>
  <si>
    <t>RET_COM_IVA30</t>
  </si>
  <si>
    <t>RET_COM_IVA50</t>
  </si>
  <si>
    <t>RET_COM_IVA70</t>
  </si>
  <si>
    <t>RET_COM_IVA100</t>
  </si>
  <si>
    <t>RET_COM_IVANC</t>
  </si>
  <si>
    <t>RET_VEN_IVA</t>
  </si>
  <si>
    <t>RET_VEN_FTE</t>
  </si>
  <si>
    <t>RET_REC_IVA</t>
  </si>
  <si>
    <t>RET_REC_FTE</t>
  </si>
  <si>
    <t>ANULADOS</t>
  </si>
  <si>
    <t>REND_CTA_EXE</t>
  </si>
  <si>
    <t>REND_NAT_AHO</t>
  </si>
  <si>
    <t>RET_REN_FTE</t>
  </si>
  <si>
    <t>6</t>
  </si>
  <si>
    <t>7</t>
  </si>
  <si>
    <t>8</t>
  </si>
  <si>
    <t>9</t>
  </si>
  <si>
    <t xml:space="preserve">RUC </t>
  </si>
  <si>
    <t xml:space="preserve">CI </t>
  </si>
  <si>
    <t>02-Paises de residencia a quien se efectua el PAGO en PARAISO FISCAL</t>
  </si>
  <si>
    <t xml:space="preserve">Valor Retencion IVA en NC </t>
  </si>
  <si>
    <t xml:space="preserve">     &lt;&lt;-- Seleccione el periodo a declarar</t>
  </si>
  <si>
    <t xml:space="preserve">      &lt;&lt;-- Seleccione el periodo a declarar</t>
  </si>
  <si>
    <t>00-Comprobante de ventas anulado</t>
  </si>
  <si>
    <t>23-Nota de Crédito T/C</t>
  </si>
  <si>
    <t>24-Nota de Débito T/C</t>
  </si>
  <si>
    <t>6-TURISMO</t>
  </si>
  <si>
    <t>VELIZ NAPA JAVIER</t>
  </si>
  <si>
    <t>MICROEMPRESA Y ACTIVIDADES  INCLUYENTES</t>
  </si>
  <si>
    <t>1er SEMESTRE (ENE-JUN)</t>
  </si>
  <si>
    <t>(-)DEVOLUCIONES</t>
  </si>
  <si>
    <t>SUBTOTAL INGRESOS</t>
  </si>
  <si>
    <t>2do SEMESTRE (JUL-DIC)</t>
  </si>
  <si>
    <t>IMPUESTO RENTA x PAGAR SEMESTRE</t>
  </si>
  <si>
    <t>EGRESOS</t>
  </si>
  <si>
    <t>INGRESOS EXENTOS</t>
  </si>
  <si>
    <t>ACTIVIDADES EMPRESARIALES Y EXCLUYENTES</t>
  </si>
  <si>
    <t>OTROS INGRESOS EXENTOS</t>
  </si>
  <si>
    <t>DECIMO TERCER SUELDO</t>
  </si>
  <si>
    <t>DECIMO CUARTO SUELDO</t>
  </si>
  <si>
    <t>FONDO DE RESERVA</t>
  </si>
  <si>
    <t>BONIFICACIONES</t>
  </si>
  <si>
    <t>TOTAL DE INGRESOS EXENTOS</t>
  </si>
  <si>
    <t>RESUMEN DE GASTOS PERSONALES</t>
  </si>
  <si>
    <t>TIPO GASTO</t>
  </si>
  <si>
    <t>OTROS</t>
  </si>
  <si>
    <t>PENSIONES JUBILARES</t>
  </si>
  <si>
    <t>RET. FTE.</t>
  </si>
  <si>
    <t>Subtotal</t>
  </si>
  <si>
    <t>Formulario 103</t>
  </si>
  <si>
    <t>En Relacion Dependencia (Casillero 302)</t>
  </si>
  <si>
    <t>Valor Retenido (Casillero 352)</t>
  </si>
  <si>
    <t>I.V.A. en
compras por REEMBOLSO</t>
  </si>
  <si>
    <t>Total Valor a Pagar</t>
  </si>
  <si>
    <t>I.V.A. en
ventas por REEMBOLSO</t>
  </si>
  <si>
    <t>I.V.A. en
ventas GRAVABLES</t>
  </si>
  <si>
    <t>Total de IVA en Ventas</t>
  </si>
  <si>
    <t>Base Imponible de Ventas NO Gravables + EXPORTACIONES</t>
  </si>
  <si>
    <t>&lt;&lt; INGRESAR VALOR &gt;&gt;</t>
  </si>
  <si>
    <t>IMPUESTO A LIQUIDAR EN ESTE MES
(Mínimo campo 480 x tarifa IVA diferente de cero)</t>
  </si>
  <si>
    <t>IMPUESTO A LA RENTA x SEMESTRE</t>
  </si>
  <si>
    <t>(-) RETENCIONES EN LA FUENTE x SEMESTRE</t>
  </si>
  <si>
    <t>OTROS REL.DEP</t>
  </si>
  <si>
    <t>OTROS_EXE1</t>
  </si>
  <si>
    <t>OTROS_EXE2</t>
  </si>
  <si>
    <t>&lt;&lt;= Escribir CT del periodo anterior con simbolo negativo</t>
  </si>
  <si>
    <t>Codigo Docto.</t>
  </si>
  <si>
    <t>Estado Documento Electronico</t>
  </si>
  <si>
    <t>SI</t>
  </si>
  <si>
    <t>IRBPNR (%)</t>
  </si>
  <si>
    <t>IRBPNR CODIGO</t>
  </si>
  <si>
    <t>ICE (%)</t>
  </si>
  <si>
    <t>ICE CODIGO</t>
  </si>
  <si>
    <t>Impuesto IVA</t>
  </si>
  <si>
    <t>Valor Unitario</t>
  </si>
  <si>
    <t>Unidad de Medida</t>
  </si>
  <si>
    <t>Codigo
Secundario</t>
  </si>
  <si>
    <t>Codigo
Principal</t>
  </si>
  <si>
    <t>LISTADO DE PRODUCTOS O SERVICIOS</t>
  </si>
  <si>
    <t>MANTA</t>
  </si>
  <si>
    <t>CONSUMIDOR FINAL</t>
  </si>
  <si>
    <t>Clasificacion</t>
  </si>
  <si>
    <t>email</t>
  </si>
  <si>
    <t>Telefono</t>
  </si>
  <si>
    <t>Direccion</t>
  </si>
  <si>
    <t>Apellidos y Nombres / Razon Social</t>
  </si>
  <si>
    <t>Tipo Identificación</t>
  </si>
  <si>
    <t>LISTADO DE CONTRIBUYENTES</t>
  </si>
  <si>
    <t>EXENTO</t>
  </si>
  <si>
    <t>Valor Subtotal</t>
  </si>
  <si>
    <t>IRBPNR Valor Impuesto</t>
  </si>
  <si>
    <t>IRBPNR Valor Base</t>
  </si>
  <si>
    <t>Grava IRBPNR</t>
  </si>
  <si>
    <t>ICE Valor Impuesto</t>
  </si>
  <si>
    <t>ICE Valor Base</t>
  </si>
  <si>
    <t>Descuento Valor</t>
  </si>
  <si>
    <t>Descuento (%)</t>
  </si>
  <si>
    <t>Base 
Imponible</t>
  </si>
  <si>
    <t>Tipo Impuesto</t>
  </si>
  <si>
    <t>Precio</t>
  </si>
  <si>
    <t>Codigo Principal</t>
  </si>
  <si>
    <t>Autocodigo MAESTRO</t>
  </si>
  <si>
    <t>Modulo</t>
  </si>
  <si>
    <t>Autocodigo DETALLE</t>
  </si>
  <si>
    <t>DETALLE DE DOCUMENTOS EMITIDOS</t>
  </si>
  <si>
    <t>Autocodigo COMPRAS</t>
  </si>
  <si>
    <t>Estado Documento Electronico(1)</t>
  </si>
  <si>
    <t>Codigo Documento(2)</t>
  </si>
  <si>
    <t>Clase Documento(2)</t>
  </si>
  <si>
    <t>Estado Documento Electronico(2)</t>
  </si>
  <si>
    <t>Valor Descuentos (2)</t>
  </si>
  <si>
    <t>Valor Descuentos</t>
  </si>
  <si>
    <t>Codigo de PAIS</t>
  </si>
  <si>
    <t>Autocodigo REEMBOLSO</t>
  </si>
  <si>
    <t>Clase de Documento Electronico</t>
  </si>
  <si>
    <t>Nombre Comercial</t>
  </si>
  <si>
    <t>Dirección Matriz</t>
  </si>
  <si>
    <t>Telefonos</t>
  </si>
  <si>
    <t>Contribuyente Especial No.</t>
  </si>
  <si>
    <t>Obligado a llevar Contabilidad</t>
  </si>
  <si>
    <t>1-PRUEBAS</t>
  </si>
  <si>
    <t>Agente de Retencion No.</t>
  </si>
  <si>
    <t>Numero de Decimales (Cantidad)</t>
  </si>
  <si>
    <t>Numero de Decimales (Precio)</t>
  </si>
  <si>
    <t>Forma de Cobro Predeterminada</t>
  </si>
  <si>
    <t/>
  </si>
  <si>
    <t>Email de Respuesta</t>
  </si>
  <si>
    <t>Email de Contacto Principal</t>
  </si>
  <si>
    <t>Forma de Pago Predeterminada</t>
  </si>
  <si>
    <t>Configuracion y datos de la Empresa</t>
  </si>
  <si>
    <t>Email de Registro en Sistema:</t>
  </si>
  <si>
    <t>URL Servidor Generador ATS:</t>
  </si>
  <si>
    <t>DATOS DE USUARIO EN EL SERVIDOR WEB:</t>
  </si>
  <si>
    <t>Licencia de Generador ATS :</t>
  </si>
  <si>
    <t>Configuracion y datos para Emision Documentos Electronicos</t>
  </si>
  <si>
    <t>INFORMACION COMPLEMENTARIA DEL CONTRIBUYENTE EMISOR:</t>
  </si>
  <si>
    <t>Clave de Archivo firma (P12):</t>
  </si>
  <si>
    <t>Ruta firma electronica (P12):</t>
  </si>
  <si>
    <t>DIRECTORIOS DE ARCHIVOS EN PC LOCAL:</t>
  </si>
  <si>
    <t>DATOS DEL ARCHIVO DE FIRMA ELECTRONICA:</t>
  </si>
  <si>
    <t>Guardar Archivo Generado</t>
  </si>
  <si>
    <t>Guardar Archivo Firmado</t>
  </si>
  <si>
    <t>Guardar Archivo de Error</t>
  </si>
  <si>
    <t>Enviar email al Contribuyente:</t>
  </si>
  <si>
    <t>Recibir copia de email</t>
  </si>
  <si>
    <t>Aplica Propina Legal</t>
  </si>
  <si>
    <t>Porcentaje de Propina Legal</t>
  </si>
  <si>
    <t>SRI - Tipo de Ambiente</t>
  </si>
  <si>
    <t>dt_razsoc</t>
  </si>
  <si>
    <t>dt_repleg</t>
  </si>
  <si>
    <t>dt_cedrep</t>
  </si>
  <si>
    <t>dt_nomcon</t>
  </si>
  <si>
    <t>dt_ruccon</t>
  </si>
  <si>
    <t>dt_rucemp</t>
  </si>
  <si>
    <t>dt_est001</t>
  </si>
  <si>
    <t>dt_est002</t>
  </si>
  <si>
    <t>dt_est003</t>
  </si>
  <si>
    <t>dt_est004</t>
  </si>
  <si>
    <t>dt_est005</t>
  </si>
  <si>
    <t>dt_est006</t>
  </si>
  <si>
    <t>dt_est007</t>
  </si>
  <si>
    <t>dt_est008</t>
  </si>
  <si>
    <t>dt_est009</t>
  </si>
  <si>
    <t>dt_est010</t>
  </si>
  <si>
    <t>dt_percon</t>
  </si>
  <si>
    <t xml:space="preserve">Nombre de Grupos </t>
  </si>
  <si>
    <t>&lt;== cambie por su clave de generador ATS</t>
  </si>
  <si>
    <t>&lt;&lt; click AQUI para cambiar &gt;&gt;</t>
  </si>
  <si>
    <t>&lt;== modificar por su preferencia</t>
  </si>
  <si>
    <t>dt_rutserv</t>
  </si>
  <si>
    <t>dt_maireg</t>
  </si>
  <si>
    <t>dt_licats</t>
  </si>
  <si>
    <t>dt_nomcom</t>
  </si>
  <si>
    <t>dt_dirmat</t>
  </si>
  <si>
    <t>dt_numtel</t>
  </si>
  <si>
    <t>dt_maipri</t>
  </si>
  <si>
    <t>dt_oblcon</t>
  </si>
  <si>
    <t>dt_especi</t>
  </si>
  <si>
    <t>dt_agente</t>
  </si>
  <si>
    <t>cf_proleg</t>
  </si>
  <si>
    <t>cf_propor</t>
  </si>
  <si>
    <t>cf_sriamb</t>
  </si>
  <si>
    <t>cf_numdo1</t>
  </si>
  <si>
    <t>cf_numdo3</t>
  </si>
  <si>
    <t>cf_numdo4</t>
  </si>
  <si>
    <t>cf_numdo5</t>
  </si>
  <si>
    <t>cf_fircla</t>
  </si>
  <si>
    <t>cf_firrut</t>
  </si>
  <si>
    <t>cf_docrut</t>
  </si>
  <si>
    <t>cf_savfir</t>
  </si>
  <si>
    <t>cf_savgen</t>
  </si>
  <si>
    <t>cf_saverr</t>
  </si>
  <si>
    <t>cf_numpre</t>
  </si>
  <si>
    <t>cf_numcan</t>
  </si>
  <si>
    <t>cf_forcob</t>
  </si>
  <si>
    <t>cf_forpag</t>
  </si>
  <si>
    <t>cf_filCOM</t>
  </si>
  <si>
    <t>cf_filREE</t>
  </si>
  <si>
    <t>cf_filVEN</t>
  </si>
  <si>
    <t>cf_filEXP</t>
  </si>
  <si>
    <t>cf_filANU</t>
  </si>
  <si>
    <t>cf_filGAS</t>
  </si>
  <si>
    <t>cf_version</t>
  </si>
  <si>
    <t>Lista de Actividades del Negocio y/o Servicios</t>
  </si>
  <si>
    <t>cf_ivapor</t>
  </si>
  <si>
    <t>Porcentaje de IVA</t>
  </si>
  <si>
    <t>DATOS SRI</t>
  </si>
  <si>
    <t>DATOS CONTRIBUYENTE</t>
  </si>
  <si>
    <t>FECHA AUT. / No. AUTOR. / CLAVE ACCESO</t>
  </si>
  <si>
    <t>DIRECCION / TELEF. / EMAIL / PLACA / GUIA REM.</t>
  </si>
  <si>
    <t>DATOS INFO N/C</t>
  </si>
  <si>
    <t>NUM.DOC. / MOTIVO NC</t>
  </si>
  <si>
    <t>INFO 1 / INFO 2</t>
  </si>
  <si>
    <t>UTILES OFICINA</t>
  </si>
  <si>
    <t>Codigo Cuenta Contable</t>
  </si>
  <si>
    <t>Cuenta Contable</t>
  </si>
  <si>
    <t>Grupo</t>
  </si>
  <si>
    <t># Factura</t>
  </si>
  <si>
    <t># Liq.Compra</t>
  </si>
  <si>
    <t># N/Credito</t>
  </si>
  <si>
    <t># N/Debito</t>
  </si>
  <si>
    <t># Retencion</t>
  </si>
  <si>
    <t># Guia Remision</t>
  </si>
  <si>
    <t>cf_numdo2</t>
  </si>
  <si>
    <t>cf_numdo0</t>
  </si>
  <si>
    <t>Estab-Pto.Emision / Descripcion</t>
  </si>
  <si>
    <t>OTROS DATOS</t>
  </si>
  <si>
    <t>Parametros</t>
  </si>
  <si>
    <t>303-Honorarios profesionales y demás pagos por servicios relacionados con el título profesional</t>
  </si>
  <si>
    <t>304-Servicios predomina el intelecto no relacionados con el título profesional</t>
  </si>
  <si>
    <t>304A-Comisiones y demás pagos por servicios predomina intelecto no relacionados con el título profesional</t>
  </si>
  <si>
    <t>304B-Pagos a notarios y registradores de la propiedad y mercantil por sus actividades ejercidas como tales</t>
  </si>
  <si>
    <t>304C-Pagos a deportistas, entrenadores, árbitros, miembros del cuerpo técnico por sus actividades ejercidas como tales</t>
  </si>
  <si>
    <t>304D-Pagos a artistas por sus actividades ejercidas como tales</t>
  </si>
  <si>
    <t>304E-Honorarios y demás pagos por servicios de docencia</t>
  </si>
  <si>
    <t>307-Servicios predomina la mano de obra</t>
  </si>
  <si>
    <t>309-Servicios prestados por medios de comunicación y agencias de publicidad</t>
  </si>
  <si>
    <t>310-Servicio de transporte privado de pasajeros o transporte público o privado de carga</t>
  </si>
  <si>
    <t>311-Pagos a través de liquidación de compra (nivel cultural o rusticidad)</t>
  </si>
  <si>
    <t>312-Transferencia de bienes muebles de naturaleza corporal</t>
  </si>
  <si>
    <t>312B-Impuesto a la Renta único para la actividad de producción y cultivo de palma aceitera</t>
  </si>
  <si>
    <t>319-Cuotas de arrendamiento mercantil (prestado por sociedades), inclusive la de opción de compra</t>
  </si>
  <si>
    <t>320-Arrendamiento bienes inmuebles</t>
  </si>
  <si>
    <t>322-Seguros y reaseguros (primas y cesiones)</t>
  </si>
  <si>
    <t>323-Rendimientos financieros pagados a naturales y sociedades  (No a IFIs)</t>
  </si>
  <si>
    <t>323A-Rendimientos financieros depósitos Cta. Corriente</t>
  </si>
  <si>
    <t>323B1-Rendimientos financieros  depósitos Cta. Ahorros Sociedades</t>
  </si>
  <si>
    <t>323E-Rendimientos financieros depósito a plazo fijo  gravados</t>
  </si>
  <si>
    <t>323E2-Rendimientos financieros depósito a plazo fijo exentos</t>
  </si>
  <si>
    <t>323F-Rendimientos financieros operaciones de reporto - repos</t>
  </si>
  <si>
    <t>323G-Inversiones (captaciones) rendimientos distintos de aquellos pagados a IFIs</t>
  </si>
  <si>
    <t>323H-Rendimientos financieros  obligaciones</t>
  </si>
  <si>
    <t>323I-Rendimientos financieros  bonos convertible en acciones</t>
  </si>
  <si>
    <t xml:space="preserve">323M-Rendimientos financieros : Inversiones en títulos valores en renta fija gravados </t>
  </si>
  <si>
    <t>323N-Rendimientos financieros  Inversiones en títulos valores en renta fija exentos</t>
  </si>
  <si>
    <t>323O-Intereses y demás rendimientos financieros pagados a bancos y otras entidades sometidas al control de la Superintendencia de Bancos y de la Economía Popular y Solidaria</t>
  </si>
  <si>
    <t>323P- Intereses pagados por entidades del sector público a favor de sujetos pasivos</t>
  </si>
  <si>
    <t xml:space="preserve">323Q-Otros intereses y rendimientos financieros gravados </t>
  </si>
  <si>
    <t>323R-Otros intereses y rendimientos financieros exentos</t>
  </si>
  <si>
    <t>323S-Pagos y créditos en cuenta efectuados por el BCE y los depósitos centralizados de valores, en calidad de intermediarios, a instituciones del sistema financiero por cuenta de otras personas naturales y sociedades</t>
  </si>
  <si>
    <t>323T-Rendimientos financieros originados en la deuda pública ecuatoriana</t>
  </si>
  <si>
    <t>323U-Rendimientos financieros originados en títulos valores de obligaciones de 360 días o más para el financiamiento de proyectos públicos en asociación público-privada</t>
  </si>
  <si>
    <t xml:space="preserve">324A- Intereses en operaciones de crédito entre instituciones del sistema financiero y entidades economía popular y solidaria. </t>
  </si>
  <si>
    <t>324B-Inversiones entre instituciones del sistema financiero y entidades economía popular y solidaria</t>
  </si>
  <si>
    <t>324C-Pagos y créditos en cuenta efectuados por el BCE y los depósitos centralizados de valores, en calidad de intermediarios, a instituciones del sistema financiero por cuenta de otras instituciones del sistema financiero</t>
  </si>
  <si>
    <t>328-Dividendos distribuidos a sociedades residentes</t>
  </si>
  <si>
    <t>329-dividendos distribuidos a fideicomisos residentes</t>
  </si>
  <si>
    <t>330-Dividendos gravados distribuidos en acciones (reinversión de utilidades sin derecho a reducción tarifa IR)</t>
  </si>
  <si>
    <t>331-Dividendos en acciones (capitalización de utilidades)</t>
  </si>
  <si>
    <t>332B-Compra de bienes inmuebles</t>
  </si>
  <si>
    <t>332C-Transporte público de pasajeros</t>
  </si>
  <si>
    <t>332D-Pagos en el país por transporte de pasajeros o transporte internacional de carga, a compañías nacionales o extranjeras de aviación o marítimas</t>
  </si>
  <si>
    <t>332E-Valores entregados por las cooperativas de transporte a sus socios</t>
  </si>
  <si>
    <t>332F-Compraventa de divisas distintas al dólar de los Estados Unidos de América</t>
  </si>
  <si>
    <t xml:space="preserve">332G-Pagos con tarjeta de crédito </t>
  </si>
  <si>
    <t>332H-Pago al exterior tarjeta de crédito reportada por la Emisora de tarjeta de crédito, solo recap</t>
  </si>
  <si>
    <t>332I-Pago a través de convenio de debito (Clientes IFI`s)</t>
  </si>
  <si>
    <t>333-Ganancia en la enajenación de derechos representativos de capital u otros derechos que permitan la exploración, explotación, concesión o similares de sociedades, que se coticen en bolsa de valores del Ecuador</t>
  </si>
  <si>
    <t>334-Contraprestación producida por la enajenación de derechos representativos de capital u otros derechos que permitan la exploración, explotación, concesión o similares de sociedades, no cotizados en bolsa de valores del Ecuador</t>
  </si>
  <si>
    <t>336-Venta de combustibles a comercializadoras</t>
  </si>
  <si>
    <t>337-Venta de combustibles a distribuidores</t>
  </si>
  <si>
    <t>339-Liquidación impuesto único a la venta local de banano de producción propia</t>
  </si>
  <si>
    <t>341-Impuesto único a la exportación de banano de producción propia - componente 2</t>
  </si>
  <si>
    <t>342-Impuesto único a la exportación de banano producido por terceros</t>
  </si>
  <si>
    <t>343A-Energía eléctrica</t>
  </si>
  <si>
    <t>343B-Actividades de construcción de obra material inmueble, urbanización, lotización o actividades similares</t>
  </si>
  <si>
    <t>344-Otras retenciones aplicables el 2%</t>
  </si>
  <si>
    <t>344A-Pago local tarjeta de crédito /débito reportada por la Emisora de tarjeta de crédito / entidades del sistema financiero</t>
  </si>
  <si>
    <t>344B-Adquisición de sustancias minerales dentro del territorio nacional</t>
  </si>
  <si>
    <t>345-Otras retenciones aplicables el 8%</t>
  </si>
  <si>
    <t xml:space="preserve">346A-Otras ganancias de capital distintas de enajenación de derechos representativos de capital </t>
  </si>
  <si>
    <t>348-Impuesto único a ingresos provenientes de actividades agropecuarias en etapa de producción / comercialización local o exportación</t>
  </si>
  <si>
    <t>351-Regimen Microempresas (a partir de Enero 2021)</t>
  </si>
  <si>
    <t>505D-Pago a no residentes - Intereses por financiamiento de proveedores externos</t>
  </si>
  <si>
    <t>505E-Pago a no residentes - Intereses de otros créditos externos</t>
  </si>
  <si>
    <t>520E-Pago a no residentes - Por las empresas de transporte marítimo o aéreo y por empresas pesqueras de alta mar, por su actividad.</t>
  </si>
  <si>
    <t xml:space="preserve">524-Pago a no residentes - Otros pagos al exterior no sujetos a retención </t>
  </si>
  <si>
    <t>Consumidor Final (Predeterminado)</t>
  </si>
  <si>
    <t>cf_clipre</t>
  </si>
  <si>
    <t>CAMPO BUSQUEDA</t>
  </si>
  <si>
    <t>CLIENTE</t>
  </si>
  <si>
    <t>No Objeto IVA</t>
  </si>
  <si>
    <t>PVP Sin Subsidio</t>
  </si>
  <si>
    <t>Atributos</t>
  </si>
  <si>
    <t>Atributos Adicionales</t>
  </si>
  <si>
    <t>Fecha Movimiento</t>
  </si>
  <si>
    <t>Grava ICE</t>
  </si>
  <si>
    <t>ID</t>
  </si>
  <si>
    <t>Tarifas de porcentajes de IVA</t>
  </si>
  <si>
    <t>0%</t>
  </si>
  <si>
    <t>12%</t>
  </si>
  <si>
    <t>Codigo Auxiliar</t>
  </si>
  <si>
    <t>ID Articulo</t>
  </si>
  <si>
    <t>PVP sin Subsidio</t>
  </si>
  <si>
    <t>Tabla de Codigos de Impuestos ICE</t>
  </si>
  <si>
    <t>3680-ICE FUNDAS PLÁSTICAS</t>
  </si>
  <si>
    <t>Tabla de Codigos de Impuestos IRBPNR</t>
  </si>
  <si>
    <t>3011-ICE-CIGARRILLOS RUBIOS</t>
  </si>
  <si>
    <t>3021-ICE-CIGARRILLOS NEGROS</t>
  </si>
  <si>
    <t>3023-ICE-PRODUCTOS DEL TABACO Y SUCEDÁNEOS DEL TABACO EXCEPTO CIGARRILLOS</t>
  </si>
  <si>
    <t>3031-ICE-BEBIDAS ALCOHÓLICAS</t>
  </si>
  <si>
    <t>3033-ICE-ALCOHOL</t>
  </si>
  <si>
    <t>3041-ICE-CERVEZA INDUSTRIAL</t>
  </si>
  <si>
    <t>3043-ICE-CERVEZA ARTESANAL</t>
  </si>
  <si>
    <t>3051-ICE-BEBIDA X CONFIRMAR</t>
  </si>
  <si>
    <t>3053-ICE-BEBIDAS GASEOSAS CON ALTO CONTENIDO DE AZUCAR</t>
  </si>
  <si>
    <t>3054-ICE-BEBIDAS GASEOSAS CON BAJO CONTENIDO DE AZUCAR</t>
  </si>
  <si>
    <t>Valor Fijo</t>
  </si>
  <si>
    <t>Porcentaje</t>
  </si>
  <si>
    <t>5001-IMPUESTO REDIMIBLE A LAS BOTELLAS PLASTICAS</t>
  </si>
  <si>
    <t>(%) Descto.</t>
  </si>
  <si>
    <t>ICE EN IVA</t>
  </si>
  <si>
    <t>Placa / Matricula</t>
  </si>
  <si>
    <t>9999999999999</t>
  </si>
  <si>
    <t>F-Consumidor Final</t>
  </si>
  <si>
    <t>01-Persona Natural</t>
  </si>
  <si>
    <t>Ultimo Numero Secuencial</t>
  </si>
  <si>
    <t>cf_filDET</t>
  </si>
  <si>
    <t>cf_filCON</t>
  </si>
  <si>
    <t>No. ID / RUC</t>
  </si>
  <si>
    <t>No. Documento / Factura</t>
  </si>
  <si>
    <t>FORMA DE COBRO/PAGO</t>
  </si>
  <si>
    <t>Tipo Transaccion</t>
  </si>
  <si>
    <t>No. de documento
Cheque/Voucher/Ret.</t>
  </si>
  <si>
    <t>No.  Asiento Contable</t>
  </si>
  <si>
    <t>Nombre y/o Institucion</t>
  </si>
  <si>
    <t>No. Documento / Factura SRI</t>
  </si>
  <si>
    <t>PARAMETROS DE CONTROL INTERNO DE HOJAS DEL SISTEMA (NO MODIFICAR)</t>
  </si>
  <si>
    <t>cf_numING</t>
  </si>
  <si>
    <t>cf_numEGR</t>
  </si>
  <si>
    <t>Autocodigo Documentos</t>
  </si>
  <si>
    <t>Autocodigo Modulo</t>
  </si>
  <si>
    <t>Autocodigo TESORERIA</t>
  </si>
  <si>
    <t>Valor Transaccion</t>
  </si>
  <si>
    <t>Observaciones</t>
  </si>
  <si>
    <t>2</t>
  </si>
  <si>
    <t>Activo</t>
  </si>
  <si>
    <t>S</t>
  </si>
  <si>
    <t>Numero de Asiento</t>
  </si>
  <si>
    <t>Concepto Contable</t>
  </si>
  <si>
    <t>Estado</t>
  </si>
  <si>
    <t>Contabilizacion de la VENTA</t>
  </si>
  <si>
    <t>VENTAS DE SERVICIOS</t>
  </si>
  <si>
    <t>VENTAS DE BIENES + ENVIOS</t>
  </si>
  <si>
    <t>Numero de Transaccion</t>
  </si>
  <si>
    <t>Autocodigo Secuencial</t>
  </si>
  <si>
    <t>Fecha Transaccion</t>
  </si>
  <si>
    <t>Descripcion Cuenta</t>
  </si>
  <si>
    <t>Valor DEBE</t>
  </si>
  <si>
    <t>Valor HABER</t>
  </si>
  <si>
    <t>Glosa</t>
  </si>
  <si>
    <t>Nota Explicativa NIIFs</t>
  </si>
  <si>
    <t>cf_filDIA</t>
  </si>
  <si>
    <t>cf_numDIA</t>
  </si>
  <si>
    <t>Asientos de Diario Contable</t>
  </si>
  <si>
    <t>Hoja Diario</t>
  </si>
  <si>
    <t>Hoja Detalles</t>
  </si>
  <si>
    <t>Hoja Contribuyentes</t>
  </si>
  <si>
    <t>Hoja GASTOS</t>
  </si>
  <si>
    <t>Hoja ANULADOS</t>
  </si>
  <si>
    <t>Hoja EXPORTACIONES</t>
  </si>
  <si>
    <t>Hoja VENTAS</t>
  </si>
  <si>
    <t>Hoja REEMBOLSOS</t>
  </si>
  <si>
    <t>Hoja COMPRAS</t>
  </si>
  <si>
    <t>cf_filTES</t>
  </si>
  <si>
    <t>Hoja Tesoreria</t>
  </si>
  <si>
    <t>Comprobantes de Egresos</t>
  </si>
  <si>
    <t>Comprobantes de Ingresos</t>
  </si>
  <si>
    <t>NUMERACION CONTABILIDAD:</t>
  </si>
  <si>
    <t>NUMERACION TESORERIA:</t>
  </si>
  <si>
    <t>ND</t>
  </si>
  <si>
    <t>SUMINISTROS DE OFICINA</t>
  </si>
  <si>
    <t>ENTRADAS</t>
  </si>
  <si>
    <t>SALIDAS (Devoluciones)</t>
  </si>
  <si>
    <t>Tabla de Grupos Contables para generar Asientos Automaticos RETENCIONES</t>
  </si>
  <si>
    <t>Tabla de Grupos Contables para generar Asientos Automaticos INGRESOS y/o VENTAS</t>
  </si>
  <si>
    <t>Tabla de Grupos Contables para generar Asientos Automaticos COMPRAS y/o GASTOS</t>
  </si>
  <si>
    <t>HONORARIOS PROFESIONALES</t>
  </si>
  <si>
    <t>TRANSPORTE</t>
  </si>
  <si>
    <t>VIATICOS</t>
  </si>
  <si>
    <t>&lt;p1&gt;12334444&lt;/p1&gt;</t>
  </si>
  <si>
    <t>RETENCION 1 COMPRA(emitida)</t>
  </si>
  <si>
    <t>RETENCION 2 COMPRA(emitida)</t>
  </si>
  <si>
    <t>RETENCION 1 VENTA(recibida)</t>
  </si>
  <si>
    <t>RETENCION 2 VENTA(recibida)</t>
  </si>
  <si>
    <t>cc_ret1com</t>
  </si>
  <si>
    <t>cc_ret2com</t>
  </si>
  <si>
    <t>cc_ret1ven</t>
  </si>
  <si>
    <t>cc_ret2ven</t>
  </si>
  <si>
    <t>DATOS CONTRIBUYENTE (1)</t>
  </si>
  <si>
    <t>DATOS SRI (1)</t>
  </si>
  <si>
    <t>Suma de Devoluciones</t>
  </si>
  <si>
    <t>DATOS CONFIGURACION ESTABLECIMIENTOS</t>
  </si>
  <si>
    <t>GUIA DE REMISION / TRANSPORTISTA</t>
  </si>
  <si>
    <t>Otros Valores</t>
  </si>
  <si>
    <t>PARA CxCOBRAR</t>
  </si>
  <si>
    <t>PARA CxPAGAR</t>
  </si>
  <si>
    <t>DATOS SRI (2)</t>
  </si>
  <si>
    <t>DATOS CONTRIBUYENTE (2)</t>
  </si>
  <si>
    <t>OTROS DATOS(2)</t>
  </si>
  <si>
    <t>OTROS DATOS(1)</t>
  </si>
  <si>
    <t>Tipo de Regimen SRI</t>
  </si>
  <si>
    <t>dt_tpregi</t>
  </si>
  <si>
    <t>NUMERACION DETALLE HOJAS:</t>
  </si>
  <si>
    <t>Valor Retenido en ISD</t>
  </si>
  <si>
    <t>Valor Retención  IVA 100% Sector Publico</t>
  </si>
  <si>
    <t>Monto de IRBPNR</t>
  </si>
  <si>
    <t>Monto de OTROS</t>
  </si>
  <si>
    <t>&lt;p2&gt;12334444&lt;/p1&gt;</t>
  </si>
  <si>
    <t>Total Subsidios</t>
  </si>
  <si>
    <t>Monto de Propina + IRBPNR + OTROS</t>
  </si>
  <si>
    <t>8%</t>
  </si>
  <si>
    <t>Ruta Comprobantes Autorizados</t>
  </si>
  <si>
    <t>cf_mailPort</t>
  </si>
  <si>
    <t>cf_mailHost</t>
  </si>
  <si>
    <t>Puerto de Salida SMTP</t>
  </si>
  <si>
    <t>Nombre Host SMTP</t>
  </si>
  <si>
    <t>cf_mailUser</t>
  </si>
  <si>
    <t>Nombre de Usuario</t>
  </si>
  <si>
    <t>Clave de Usuario</t>
  </si>
  <si>
    <t>cf_mailConn</t>
  </si>
  <si>
    <t>cf_mailPass</t>
  </si>
  <si>
    <t>cf_mailAsun</t>
  </si>
  <si>
    <t>&lt;~TipoDocumento~&gt; Electronica de &lt;~NombreEmisor~&gt; - No. &lt;~NumeroDocumento~&gt;</t>
  </si>
  <si>
    <t>cf_mailBody</t>
  </si>
  <si>
    <t>Conexion Segura SSL</t>
  </si>
  <si>
    <t>cf_mailSend</t>
  </si>
  <si>
    <t>cf_mailCopy</t>
  </si>
  <si>
    <t>cf_mailResp</t>
  </si>
  <si>
    <t>587</t>
  </si>
  <si>
    <t>cf_mailServ</t>
  </si>
  <si>
    <t>Servidor de envio de Correo</t>
  </si>
  <si>
    <t>MS-OUTLOOK</t>
  </si>
  <si>
    <t>Estimad@ Cliente: &lt;~NombreReceptor~&gt;&lt;br&gt;
&lt;br&gt;
Adjunto sirvase encontrar el documento electronico emitido con el siguiente detalle:&lt;br&gt;
&lt;~TipoDocumento~&gt; No.: &lt;~NumeroDocumento~&gt;&lt;br&gt;
Fecha de Emision : &lt;~FechaEmision~&gt;&lt;br&gt;
&lt;br&gt;
El documento pdf y xml de su documento se encuentra adjunto a este correo.&lt;br&gt;
Gracias por preferirnos.&lt;br&gt;
&lt;br&gt;
Saludos cordiales&lt;br&gt;
&lt;br&gt;
&lt;~NombreEmisor~&gt;&lt;br&gt;
Direccion: &lt;~DireccionEmisor~&gt;&lt;br&gt;
Telf(s): &lt;~TelefonoEmisor~&gt;&lt;br&gt;
Email: &lt;~EmailEmisor~&gt;&lt;br&gt;
&lt;br&gt;
NOTA: Este es un correo automatico y NO es necesario responder.&lt;br&gt;</t>
  </si>
  <si>
    <t>DocCompras</t>
  </si>
  <si>
    <t>Sustentos</t>
  </si>
  <si>
    <t>FormaPagos</t>
  </si>
  <si>
    <t>N</t>
  </si>
  <si>
    <t>14%</t>
  </si>
  <si>
    <t>DocVentas</t>
  </si>
  <si>
    <t>Ret-FUENTE</t>
  </si>
  <si>
    <t>Paises-RGEN</t>
  </si>
  <si>
    <t>Paises-PFIS</t>
  </si>
  <si>
    <t>Paises-EXP</t>
  </si>
  <si>
    <t>Tipos-EXP</t>
  </si>
  <si>
    <t>Distritos</t>
  </si>
  <si>
    <t>Ing-Exterior</t>
  </si>
  <si>
    <t>Ret-ICE</t>
  </si>
  <si>
    <t>Ret-IRBPNR</t>
  </si>
  <si>
    <t>Abreviacion  
Inicial</t>
  </si>
  <si>
    <t>DC</t>
  </si>
  <si>
    <t>DR</t>
  </si>
  <si>
    <t>DV</t>
  </si>
  <si>
    <t>DE</t>
  </si>
  <si>
    <t>DA</t>
  </si>
  <si>
    <t>DG</t>
  </si>
  <si>
    <t>DD</t>
  </si>
  <si>
    <t>DT</t>
  </si>
  <si>
    <t>DS</t>
  </si>
  <si>
    <t>CD</t>
  </si>
  <si>
    <t>RIMPE EMPRENDEDOR</t>
  </si>
  <si>
    <t>C:\SRIanexos\Documentos\Autorizados</t>
  </si>
  <si>
    <t>Formatos de Impresión RIDE ==&gt;&gt;</t>
  </si>
  <si>
    <t>|</t>
  </si>
  <si>
    <t>Formato Impresión Contribuyente =&gt;</t>
  </si>
  <si>
    <t>cf_printride</t>
  </si>
  <si>
    <t>cf_printform</t>
  </si>
  <si>
    <t>RIDE01a</t>
  </si>
  <si>
    <t>RIDE03a</t>
  </si>
  <si>
    <t>RIDE04a</t>
  </si>
  <si>
    <t>RIDE05a</t>
  </si>
  <si>
    <t>RIDE07a</t>
  </si>
  <si>
    <t>RIDE06a</t>
  </si>
  <si>
    <t>TI</t>
  </si>
  <si>
    <t>TE</t>
  </si>
  <si>
    <t>cf_filART</t>
  </si>
  <si>
    <t>Hoja Articulos</t>
  </si>
  <si>
    <t>INFORMACION DE LA RETENCION ELECTRONICA EMITIDA</t>
  </si>
  <si>
    <t>INFORMACION DE LA LIQUIDACION DE COMPRA BIENES Y SERVICIOS ELECTRONICA EMITIDA</t>
  </si>
  <si>
    <t>----------------- Bases Imponibles para Formulario 104 ------------------</t>
  </si>
  <si>
    <t>------ Bases Imponibles del documento de COMPRA ------</t>
  </si>
  <si>
    <t>------------------------------ Informacion del documento de Retencion ---------------------------------</t>
  </si>
  <si>
    <t>----------------------------------- Datos de Retenciones IVA en Compras -----------------------------------</t>
  </si>
  <si>
    <t>---------- Informacion de COMPRAS para CONTABILIDAD -----------</t>
  </si>
  <si>
    <t>------ Informacion de RETENCIONES para CONTABILIDAD ------</t>
  </si>
  <si>
    <t>------------------------   Datos de Pagos de Facturas Compras  ----------------------------------</t>
  </si>
  <si>
    <t>Código Form. (104)  1</t>
  </si>
  <si>
    <t>Código Form. (104)  2</t>
  </si>
  <si>
    <t>Código Form. (104)  3</t>
  </si>
  <si>
    <t>Establecimiento Ret.</t>
  </si>
  <si>
    <t>Punto Emisión Ret.</t>
  </si>
  <si>
    <t>Numero Secuencial Ret.</t>
  </si>
  <si>
    <t>Numero Autorización S.R.I. Retención</t>
  </si>
  <si>
    <t>Contabilizacion de la COMPRA</t>
  </si>
  <si>
    <t>Contabilizacion de la RETENCION Recibida</t>
  </si>
  <si>
    <t>Contabilizacion de la RETENCION EMITIDA</t>
  </si>
  <si>
    <t>INFORMACION DEL DOCUMENTO ELECTRONICO EMITIDO (FACTURA / NOTA CREDITO / NOTA DEBITO)</t>
  </si>
  <si>
    <t>DATOS INFORMACION ADICIONAL</t>
  </si>
  <si>
    <t>DATOS INFORMACION ADICIONAL (2)</t>
  </si>
  <si>
    <t>DATOS INFORMACION ADICIONAL (1)</t>
  </si>
  <si>
    <t>------- Contabilizacion del documento de Retencion -------</t>
  </si>
  <si>
    <t xml:space="preserve"> ------------------------------------------ Totales del documento soporte del REEMBOLSO  ----------------------------------------</t>
  </si>
  <si>
    <t>TOTAL ANUAL</t>
  </si>
  <si>
    <t>IMPUESTO A LA RENTA SOBRE FRACCION BASICA</t>
  </si>
  <si>
    <t>IMPUESTO A LA RENTA SOBRE FRACCION EXCEDENTE</t>
  </si>
  <si>
    <t>Limite Inferior</t>
  </si>
  <si>
    <t>Limite Superior</t>
  </si>
  <si>
    <t>Tipo Marginal %</t>
  </si>
  <si>
    <t>INGRESOS</t>
  </si>
  <si>
    <t>TOTAL DE INGRESOS GRAVABLES</t>
  </si>
  <si>
    <t>ICE en IVA</t>
  </si>
  <si>
    <t>332-Otras compras de bienes y servicios no sujetas a retención (incluye régimen RIMPE - Negocios Populares, para este caso aplica con cualquier forma de pago inclusive los pagos que deban realizar las tarjetas de crédito/débito)</t>
  </si>
  <si>
    <t>343-Otras retenciones aplicables el 1% (incluye régimen RIMPE - Emprendedores, para este caso aplica con cualquier forma de pago inclusive los pagos que deban realizar las tarjetas de crédito/débito)</t>
  </si>
  <si>
    <t>x</t>
  </si>
  <si>
    <t>dt_licele07</t>
  </si>
  <si>
    <t>dt_licele01</t>
  </si>
  <si>
    <t>dt_licele03</t>
  </si>
  <si>
    <t>Licencia Emisor FACTURAS:</t>
  </si>
  <si>
    <t>Licencia Emisor LIQ.COMPRAS:</t>
  </si>
  <si>
    <t>Licencia Emisor RETENCIONES:</t>
  </si>
  <si>
    <t>&lt;== cambie por su clave para emitir RETENCIONES electronicas</t>
  </si>
  <si>
    <t>&lt;== cambie por su clave para emitir LIQ.COMPRAS electronicas</t>
  </si>
  <si>
    <t>&lt;== cambie por su clave para emitir FACTURAS electronicas</t>
  </si>
  <si>
    <t>Guardar datos de Clientes</t>
  </si>
  <si>
    <t>Guardar datos de Proveedores</t>
  </si>
  <si>
    <t>cf_savpro</t>
  </si>
  <si>
    <t>cf_savcli</t>
  </si>
  <si>
    <t>HA</t>
  </si>
  <si>
    <t>HC</t>
  </si>
  <si>
    <t>Ventas locales (excluye activos fijos) gravadas tarifa diferente de cero</t>
  </si>
  <si>
    <t>Ventas de activos fijos gravadas tarifa diferente de cero</t>
  </si>
  <si>
    <t>Ventas locales (excluye activos fijos) gravadas tarifa diferente de cero (TARIFA VARIABLE)</t>
  </si>
  <si>
    <t>IVA generado en la diferencia entre ventas y notas de crédito con distinta tarifa (ajuste a pagar)</t>
  </si>
  <si>
    <t>IVA generado en la diferencia entre ventas y notas de crédito con distinta tarifa (ajuste a favor)</t>
  </si>
  <si>
    <t>Ventas locales (excluye activos fijos) gravadas tarifa 0% que no dan derecho a crédito tributario</t>
  </si>
  <si>
    <t>Ventas de activos fijos gravadas tarifa 0% que no dan derecho a crédito tributario</t>
  </si>
  <si>
    <t>Ventas locales (excluye activos fijos) gravadas tarifa 0% que dan derecho a crédito tributario</t>
  </si>
  <si>
    <t>Ventas de activos fijos gravadas tarifa 0% que dan derecho a crédito tributario</t>
  </si>
  <si>
    <t>Exportaciones de bienes</t>
  </si>
  <si>
    <t>Exportaciones de servicios y/o derechos</t>
  </si>
  <si>
    <t>410</t>
  </si>
  <si>
    <t>420</t>
  </si>
  <si>
    <t>430</t>
  </si>
  <si>
    <t>Transferencias no objeto o exentas de IVA</t>
  </si>
  <si>
    <t xml:space="preserve">Notas de crédito tarifa 0% por compensar próximo mes </t>
  </si>
  <si>
    <t>Notas de crédito tarifa diferente de cero por compensar próximo mes</t>
  </si>
  <si>
    <t>Ingresos por reembolso como intermediario / valores facturados por operadoras de transporte / ingresos obtenidos por parte de las sociedades de gestión colectiva como intermediarios (informativo)</t>
  </si>
  <si>
    <t>530</t>
  </si>
  <si>
    <t>533</t>
  </si>
  <si>
    <t>534</t>
  </si>
  <si>
    <t>Adquisiciones y pagos (excluye activos fijos) gravados tarifa diferente de cero (con derecho a crédito tributario)</t>
  </si>
  <si>
    <t xml:space="preserve">Adquisiciones locales de activos fijos gravados tarifa diferente de cero (con derecho a crédito tributario) </t>
  </si>
  <si>
    <t>Otras adquisiciones y pagos gravados tarifa diferente de cero (sin derecho a crédito tributario)</t>
  </si>
  <si>
    <t>Importaciones de servicios y/o derechos gravados tarifa diferente de cero</t>
  </si>
  <si>
    <t>Importaciones de bienes (excluye activos fijos) gravados tarifa diferente de cero</t>
  </si>
  <si>
    <t>Importaciones de activos fijos gravados tarifa diferente de cero</t>
  </si>
  <si>
    <t>IVA generado en la diferencia entre adquisiciones y notas de crédito con distinta tarifa (ajuste en positivo al crédito tributario)</t>
  </si>
  <si>
    <t>IVA generado en la diferencia entre adquisiciones y notas de crédito con distinta tarifa (ajuste en negativo al crédito tributario)</t>
  </si>
  <si>
    <t>Importaciones de bienes (incluye activos fijos) gravados tarifa 0%</t>
  </si>
  <si>
    <t>Adquisiciones y pagos (incluye activos fijos) gravados tarifa 0%</t>
  </si>
  <si>
    <t>Adquisiciones realizadas a contribuyentes RISE (hasta diciembre 2021), NEGOCIOS POPULARES  (desde enero 2022)</t>
  </si>
  <si>
    <t>Adquisiciones no objeto de IVA</t>
  </si>
  <si>
    <t>Adquisiciones exentas del pago de IVA</t>
  </si>
  <si>
    <t>Notas de crédito tarifa 0% por compensar próximo mes</t>
  </si>
  <si>
    <t>Notas de crédito tarifa  diferente de cero por compensar próximo mes</t>
  </si>
  <si>
    <t>Pagos netos por reembolso como intermediario / valores facturados por socios a operadoras de transporte / pagos realizados por parte de las sociedades de gestión colectiva como intermediarios (informativo)</t>
  </si>
  <si>
    <t>TOTAL LIQUIDACIONES DE COMPRA EMITIDAS (por pago tarifa 0% de IVA o por reembolsos en relacion de dependencia)</t>
  </si>
  <si>
    <t>Impuesto causado</t>
  </si>
  <si>
    <t>Crédito tributario aplicable en este período</t>
  </si>
  <si>
    <t>(-) Compensación de IVA por ventas efectuadas con medio electrónico y/o IVA devuelto o descontado por transacciones realizadas con personas adultas mayores o personas con discapacidad</t>
  </si>
  <si>
    <t>(-) Compensación de IVA por ventas efectuadas en zonas afectadas - Ley de solidaridad, restitución de crédito tributario en resoluciones administrativas o sentencias judiciales de última instancia</t>
  </si>
  <si>
    <t>(si la diferencia de los campos 499-564 es mayor que cero)</t>
  </si>
  <si>
    <t>(si la diferencia de los campos 499-564 es menor que cero)</t>
  </si>
  <si>
    <t>Por adquisiciones e importaciones</t>
  </si>
  <si>
    <t>Por retenciones en la fuente de IVA que le han sido efectuadas</t>
  </si>
  <si>
    <t>Por compensación de IVA por ventas efectuadas con medio  electrónico</t>
  </si>
  <si>
    <t>Por compensación de IVA por ventas efectuadas en zonas afectadas - Ley de solidaridad, restitución de crédito tributario en resoluciones administrativas o sentencias judiciales de última instancia</t>
  </si>
  <si>
    <t>(trasládese el campo 615 de la declaración del período anterior)</t>
  </si>
  <si>
    <t>(trasládese el campo 617 de la declaración del período anterior)</t>
  </si>
  <si>
    <t>(trasládese el campo 618 de la declaración del período anterior)</t>
  </si>
  <si>
    <t>(trasládese el campo 619 de la declaración del período anterior)</t>
  </si>
  <si>
    <t>(-) Retenciones en la fuente de IVA que le han sido efectuadas en este período</t>
  </si>
  <si>
    <t>(-) IVA devuelto o descontado por transacciones realizadas con personas adultas mayores o personas con discapacidad</t>
  </si>
  <si>
    <t>(+) Ajuste por IVA devuelto o descontado por adquisiciones efectuadas con medio electrónico</t>
  </si>
  <si>
    <t>(+) Ajuste por IVA devuelto o descontado en adquisiciones efectuadas en zonas afectadas - Ley de solidaridad</t>
  </si>
  <si>
    <t>(+) Ajuste por IVA devuelto e IVA rechazado (por concepto de devoluciones de IVA), ajuste de IVA por procesos de control y otros (adquisiciones en importaciones), imputables al crédito tributario</t>
  </si>
  <si>
    <t>(+) Ajuste por IVA devuelto e IVA rechazado, ajuste de IVA por procesos de control y otros (por concepto retenciones en la fuente de IVA), imputables al crédito tributario</t>
  </si>
  <si>
    <t>(+) Ajuste por IVA devuelto por otras instituciones del sector público imputable al crédito tributario en el mes</t>
  </si>
  <si>
    <t xml:space="preserve">Por adquisiciones e importaciones    </t>
  </si>
  <si>
    <t>Por compensación de IVA por ventas efectuadas con medio electrónico</t>
  </si>
  <si>
    <t>IVA PRESUNTIVO DE SALAS DE JUEGO (BINGO MECÁNICOS) Y OTROS JUEGOS DE AZAR (Aplica para Ejercicios Anteriores al 2013), RETENCIÓN DE IVA EN VENTAS DIFERENTES PORCENTAJES (aplica para Ejercicios posteriores al 2021)</t>
  </si>
  <si>
    <t>TOTAL IMPUESTO A PAGAR POR PERCEPCIÓN Y RETENCIONES EFECTUADAS EN VENTAS (varios porcentajes)</t>
  </si>
  <si>
    <t>622</t>
  </si>
  <si>
    <t>Retención del 10%</t>
  </si>
  <si>
    <t>Retención del 20%</t>
  </si>
  <si>
    <t>Retención del 30%</t>
  </si>
  <si>
    <t>Retención del 50%</t>
  </si>
  <si>
    <t>Retención del 70%</t>
  </si>
  <si>
    <t>Retención del 100%</t>
  </si>
  <si>
    <t>Devolución provisional de IVA mediante compensación con retenciones efectuadas</t>
  </si>
  <si>
    <t>Retenciones efectuadas y no pagadas sector público, universidades y escuelas politécnicas</t>
  </si>
  <si>
    <t>802</t>
  </si>
  <si>
    <t>(799-800-802)</t>
  </si>
  <si>
    <t>Pago directo en cuenta única del tesoro nacional (uso exclusivo para instituciones y empresas del sector público autorizadas)</t>
  </si>
  <si>
    <t xml:space="preserve"> Nº. DECRETO TURISMO</t>
  </si>
  <si>
    <t>DIVIDENDOS EN ACCIONES (CAPITALIZACIÓN DE UTILIDADES)</t>
  </si>
  <si>
    <t>Ret.100% IVA  EMITIDAS (Compras) Sector Publico Informati</t>
  </si>
  <si>
    <t>Impresion Directa - RIDE</t>
  </si>
  <si>
    <t>Impresion Directa - FORMULARIO</t>
  </si>
  <si>
    <t>cf_impform</t>
  </si>
  <si>
    <t>cf_impride</t>
  </si>
  <si>
    <t>Previsualizar</t>
  </si>
  <si>
    <t>Autocodigo VENTAS</t>
  </si>
  <si>
    <t>NORMAL01a</t>
  </si>
  <si>
    <t>NORMAL03a</t>
  </si>
  <si>
    <t>NORMAL04a</t>
  </si>
  <si>
    <t>NORMAL05a</t>
  </si>
  <si>
    <t>NORMAL07a</t>
  </si>
  <si>
    <t>NORMAL06a</t>
  </si>
  <si>
    <t>dt_tipdec</t>
  </si>
  <si>
    <t>Tipo de Declaracion Formularios</t>
  </si>
  <si>
    <t>MENSUAL</t>
  </si>
  <si>
    <t>Base_Form.104_Nograv/Exenta</t>
  </si>
  <si>
    <t>IVA_Form.104 Base 444</t>
  </si>
  <si>
    <t>Liq.Imp. Base_NOgrav/Exenta</t>
  </si>
  <si>
    <t>Liq.Imp. IVA Reembolso 545</t>
  </si>
  <si>
    <t>Liq.Imp. IVA Gastos 512</t>
  </si>
  <si>
    <t>Liq.Imp. IVA Credito Tributario</t>
  </si>
  <si>
    <t>Liq. Imp. Ret_FTE</t>
  </si>
  <si>
    <t>Liq. Imp. Ret_IVA 100% Sector Publico</t>
  </si>
  <si>
    <t>Liq. Imp. Sumatoria Ret_IVA</t>
  </si>
  <si>
    <t>Tipo de Emision del Comprobante (opcional)</t>
  </si>
  <si>
    <t>No. Documento Retencion (Opcional)</t>
  </si>
  <si>
    <t>Fecha Retencion (Opcional)</t>
  </si>
  <si>
    <t>No. Autorizacion (Opcional)</t>
  </si>
  <si>
    <t>------------------------------------- Informacion del documento de Retencion -------------------------------------</t>
  </si>
  <si>
    <t>No. Documento (Opcional)</t>
  </si>
  <si>
    <t>Concepto de la Venta (Opcional)</t>
  </si>
  <si>
    <t>---------------------------------------- Informacion de Cabecera del documento de VENTA ----------------------------------------</t>
  </si>
  <si>
    <t>--------------- (Obligatorio si es PASAPORTE el ID)  ---------------</t>
  </si>
  <si>
    <t>Tipo de ACTIVIDAD (Opcional)</t>
  </si>
  <si>
    <t>cc_asiing</t>
  </si>
  <si>
    <t>cc_asigas</t>
  </si>
  <si>
    <t>--------------------------------- Bases Imponibles  / Tarifa del Impuesto / Totales del Documento de VENTA ---------------------------------</t>
  </si>
  <si>
    <t>Concepto de la Compra (Opcional)</t>
  </si>
  <si>
    <t>(segun columna CP = 01)</t>
  </si>
  <si>
    <t>(segun columna CP= 02)</t>
  </si>
  <si>
    <t>(segun columna CP= 03)</t>
  </si>
  <si>
    <t>(segun columna CM= 02-PAGO A NO RESIDENTE)</t>
  </si>
  <si>
    <t>(Obligatorio si columna L = 03-Exportaciones de servicios)</t>
  </si>
  <si>
    <t>Col. dependientes G-H-I</t>
  </si>
  <si>
    <t>(si columna L = 01)</t>
  </si>
  <si>
    <t>Columnas dependientes M-N-O-P-Q-S-T-U-V-W</t>
  </si>
  <si>
    <t>(Obligatorio si columna L = 01-Exportación de bienes con Refrendo</t>
  </si>
  <si>
    <t>HC0000001</t>
  </si>
  <si>
    <t>Autocodigo ARTICULOS</t>
  </si>
  <si>
    <t>TESORERIA - DETALLE DE COBROS Y PAGOS</t>
  </si>
  <si>
    <t>CONTABILIDAD - DETALLE DE ASIENTOS DE DIARIO CONTABLE</t>
  </si>
  <si>
    <t>Imp. Frac. Básica</t>
  </si>
  <si>
    <t>GENERAL</t>
  </si>
  <si>
    <t>NUMERACION Y FORMATOS DE IMPRESIÓN EN DOCUMENTOS ELECTRONICOS:</t>
  </si>
  <si>
    <t>cf_numdo6</t>
  </si>
  <si>
    <t>cf_numdo7</t>
  </si>
  <si>
    <t>cf_numdo8</t>
  </si>
  <si>
    <t>cf_numdo9</t>
  </si>
  <si>
    <t>&lt;== modificar por sus datos (25 / 465 / 587)</t>
  </si>
  <si>
    <t>miemail@gmail.com</t>
  </si>
  <si>
    <t>miclaveEmail</t>
  </si>
  <si>
    <t>miemail@hotmail.com</t>
  </si>
  <si>
    <t>SRI ANEXOS</t>
  </si>
  <si>
    <t>0999999999</t>
  </si>
  <si>
    <t>CONFIGURACION DEL ENVIO DE EMAILS:</t>
  </si>
  <si>
    <t>CONFIGURACION DE PARAMETROS GENERALES:</t>
  </si>
  <si>
    <t>Version de Plantilla:</t>
  </si>
  <si>
    <t xml:space="preserve">Descripciones </t>
  </si>
  <si>
    <t>Porcentajes</t>
  </si>
  <si>
    <t>Numeracion de Indices para documentos y detalles (NO MODIFICAR)</t>
  </si>
  <si>
    <t>jvelizn@srianexos.com</t>
  </si>
  <si>
    <t>IVAtarifas</t>
  </si>
  <si>
    <t>Actividades</t>
  </si>
  <si>
    <t>DocExport</t>
  </si>
  <si>
    <t>C:\SRIanexos\Electronicos\mifirma.p12</t>
  </si>
  <si>
    <t>miclavep12</t>
  </si>
  <si>
    <t>IVA_Form.104_413/414</t>
  </si>
  <si>
    <t>C.T.</t>
  </si>
  <si>
    <t>001-999-MATRIZ</t>
  </si>
  <si>
    <t>&lt;dire&gt;MANTA&lt;/dire&gt;&lt;logo&gt;C:\SRIanexos\Imagenes\blank.jpg&lt;/logo&gt;</t>
  </si>
  <si>
    <t>smtp.gmail.com</t>
  </si>
  <si>
    <t>Tipo Documento</t>
  </si>
  <si>
    <t>SERVER_3</t>
  </si>
  <si>
    <t>DETALLE DE GUIAS DE REMISION</t>
  </si>
  <si>
    <t>No. de Identificacion Transportista</t>
  </si>
  <si>
    <t>Razon Social Transportista</t>
  </si>
  <si>
    <t>No. de Placa</t>
  </si>
  <si>
    <t>Fecha de Fin de  Transporte</t>
  </si>
  <si>
    <t>Fecha de Inicio Transporte</t>
  </si>
  <si>
    <t>Direccion de Partida del transporte</t>
  </si>
  <si>
    <t>No. de Identificacion Destinatario</t>
  </si>
  <si>
    <t>Razon Social Destinatario</t>
  </si>
  <si>
    <t>Direccion de Destinatario</t>
  </si>
  <si>
    <t>Motivo del traslado</t>
  </si>
  <si>
    <t>No. de documento Aduanero Unico</t>
  </si>
  <si>
    <t>Ruta</t>
  </si>
  <si>
    <t>Comprobante de Sustento</t>
  </si>
  <si>
    <t>Numero documento Sustento</t>
  </si>
  <si>
    <t>Numero Autorización S.R.I. del documento Sustento</t>
  </si>
  <si>
    <t>-------- Datos del documento de Sustento --------</t>
  </si>
  <si>
    <t>Razon Social Contribuyente Emisor</t>
  </si>
  <si>
    <t>No. de Identificacion Emisor</t>
  </si>
  <si>
    <t>-------- Datos Principales del documento de la Guia de Remision --------</t>
  </si>
  <si>
    <t>---------------------------------------- Datos del transportista y direccion de traslado de mercaderia ----------------------------------------</t>
  </si>
  <si>
    <t>---------------------------------------- Datos del Destinatario y del documento de Sustento ----------------------------------------</t>
  </si>
  <si>
    <t>Fecha de Emisión Documento Sustento</t>
  </si>
  <si>
    <t>Hoja GUIAS REMISION</t>
  </si>
  <si>
    <t>DM</t>
  </si>
  <si>
    <t>cf_filGUI</t>
  </si>
  <si>
    <t>Codigo Automatico</t>
  </si>
  <si>
    <t>TABLA IMPTO. REGIMEN RIMPE EMPRENDEDOR</t>
  </si>
  <si>
    <t>TABLA IMPTO. REGIMEN RIMPE NEG.POPULAR</t>
  </si>
  <si>
    <t>Pago Anual</t>
  </si>
  <si>
    <t>RIMPE</t>
  </si>
  <si>
    <t>TIPO DE REGIMEN:</t>
  </si>
  <si>
    <t xml:space="preserve">335-Loterías, rifas, pronósticos deportivos, apuestas y similares </t>
  </si>
  <si>
    <t>346C-Retención a cargo del propio sujeto pasivo por la producción y/o comercialización de minerales y otros bienes</t>
  </si>
  <si>
    <t>513-Pago a no residentes- Artistas (25% o 37%)</t>
  </si>
  <si>
    <t>AUTORETENCIONES GRANDES CONTRIBUYENTES</t>
  </si>
  <si>
    <t>15%</t>
  </si>
  <si>
    <t>5%</t>
  </si>
  <si>
    <t>13%</t>
  </si>
  <si>
    <t>303A</t>
  </si>
  <si>
    <t>Servicios profesionales prestados por sociedades residentes</t>
  </si>
  <si>
    <t>303A-Servicios profesionales prestados por sociedades residentes</t>
  </si>
  <si>
    <t>308-Utilización o aprovechamiento de la imagen o renombre (personas naturales, sociedades," influencers")</t>
  </si>
  <si>
    <t xml:space="preserve">312A-COMPRAS AL PRODUCTOR: de bienes de origen bioacuático, forestal y los descritos  el art.27.1 de LRTI </t>
  </si>
  <si>
    <t>312C</t>
  </si>
  <si>
    <t>312C-COMPRAS AL COMERCIALIZADOR: de bienes de origen bioacuático, forestal y los descritos  el art.27.1 de LRTI</t>
  </si>
  <si>
    <t>314A-Regalías por concepto de franquicias de acuerdo al Código INGENIOS (COESCCI) - pago a personas naturales</t>
  </si>
  <si>
    <t>314B-Cánones, derechos de autor,  marcas, patentes y similares de acuerdo  al Código INGENIOS (COESCCI) – pago a personas naturales</t>
  </si>
  <si>
    <t>314C-Regalías por concepto de franquicias de acuerdo al Código INGENIOS (COESCCI) - pago a sociades</t>
  </si>
  <si>
    <t xml:space="preserve">314D-Cánones, derechos de autor,  marcas, patentes y similares de acuerdo  al Código INGENIOS (COESCCI)  </t>
  </si>
  <si>
    <t>343C-Recepción de botellas plásticas no retornables de PET</t>
  </si>
  <si>
    <t>3482-Comisiones  a sociedades, nacionales o extranjeras residentes y establecimientos permanentes domiciliados en el país</t>
  </si>
  <si>
    <t>089-HONG KONG</t>
  </si>
  <si>
    <t>COMPRAS AL COMERCIALIZADOR: de bienes de origen bioacuático, forestal y los descritos  el art.27.1 de LRTI</t>
  </si>
  <si>
    <t>Honorarios profesionales y dietas</t>
  </si>
  <si>
    <t>1
VIVIENDA</t>
  </si>
  <si>
    <t>2
VESTIMENTA</t>
  </si>
  <si>
    <t>3
SALUD</t>
  </si>
  <si>
    <t>4
EDUCACION</t>
  </si>
  <si>
    <t>5
ALIMENTACION</t>
  </si>
  <si>
    <t>6
TURISMO</t>
  </si>
  <si>
    <t>TOTALES GASTOS PERSONALES</t>
  </si>
  <si>
    <t>Total G.Pers. deducible sin Impuestos</t>
  </si>
  <si>
    <t>Predeterminado</t>
  </si>
  <si>
    <t>SERVICIOS PROFESIONALES PRESTADOS POR SOCIEDADES RESIDENTES</t>
  </si>
  <si>
    <t xml:space="preserve">COMPRAS AL PRODUCTOR: de bienes de origen bioacuático, forestal y los descritos  el art.27.1 de LRTI </t>
  </si>
  <si>
    <t>COMISIONES A SOCIEDADES, NACIONALES O EXTRANJERAS RESIDENTES Y ESTABLECIMIENTOS PERMANENTES DOMICILIADOS EN EL PAÍS</t>
  </si>
  <si>
    <t>Ventas locales (excluye activos fijos) gravadas tarifa 5%</t>
  </si>
  <si>
    <t>425</t>
  </si>
  <si>
    <t>435</t>
  </si>
  <si>
    <t>445</t>
  </si>
  <si>
    <t>540</t>
  </si>
  <si>
    <t>550</t>
  </si>
  <si>
    <t>560</t>
  </si>
  <si>
    <t>(411+412+420+435+415+416+417+418) / 419</t>
  </si>
  <si>
    <t>(520+521+534+560+523+524+525+526-527) x 563</t>
  </si>
  <si>
    <t>POR PAGOS EFECTUADOS A RESIDENTES Y ESTABLECIMIENTOS PERMANENTES</t>
  </si>
  <si>
    <t>DERIVADAS DEL TRABAJO Y SERVICIOS PRESTADOS</t>
  </si>
  <si>
    <t>POR BIENES Y SERVICIOS</t>
  </si>
  <si>
    <t>ACTIVIDADES DE CONSTRUCCIÓN DE OBRA MATERIAL INMUEBLE, URBANIZACIÓN, LOTIZACIÓN O ACTIVIDADES SIMILARES</t>
  </si>
  <si>
    <r>
      <rPr>
        <b/>
        <sz val="10"/>
        <rFont val="Arial"/>
        <family val="2"/>
      </rPr>
      <t>PAGOS APLICABLES EL 2%</t>
    </r>
    <r>
      <rPr>
        <sz val="10"/>
        <rFont val="Arial"/>
        <family val="2"/>
      </rPr>
      <t xml:space="preserve"> (incluye Pago local tarjeta de crédito /débito reportada por la Emisora de tarjeta de crédito / entidades del
sistema financiero; adquisición de sustancias minerales dentro del territorio nacional; Recepción de botellas plásticas no retornables de
PET)</t>
    </r>
  </si>
  <si>
    <r>
      <rPr>
        <b/>
        <sz val="10"/>
        <rFont val="Arial"/>
        <family val="2"/>
      </rPr>
      <t>PAGOS APLICABLES EL 1%</t>
    </r>
    <r>
      <rPr>
        <sz val="10"/>
        <rFont val="Arial"/>
        <family val="2"/>
      </rPr>
      <t xml:space="preserve"> (Energía Eléctrica y régimen RIMPE - Emprendedores, para este caso aplica con cualquier forma de pago inclusive los pagos que deban realizar las tarjetas de crédito/débito)</t>
    </r>
  </si>
  <si>
    <t>PAGOS DE BIENES Y SERVICIOS NO SUJETOS A RETENCIÓN O CON 0% (DISTINTOS DE RENDIMIENTOS FINANCIEROS)</t>
  </si>
  <si>
    <r>
      <rPr>
        <b/>
        <sz val="10"/>
        <rFont val="Arial"/>
        <family val="2"/>
      </rPr>
      <t xml:space="preserve">COMPRAS AL COMERCIALIZADOR: </t>
    </r>
    <r>
      <rPr>
        <sz val="10"/>
        <rFont val="Arial"/>
        <family val="2"/>
      </rPr>
      <t>de bienes de origen agrícola, avícola, pecuario, apícola, cunícola, bioacuático, forestal y carnes en
estado natural y los descritos en el art.27.1 de LRTI.</t>
    </r>
  </si>
  <si>
    <r>
      <rPr>
        <b/>
        <sz val="10"/>
        <rFont val="Arial"/>
        <family val="2"/>
      </rPr>
      <t>COMPRAS AL PRODUCTOR:</t>
    </r>
    <r>
      <rPr>
        <sz val="10"/>
        <rFont val="Arial"/>
        <family val="2"/>
      </rPr>
      <t xml:space="preserve"> de bienes de origen agrícola, avícola, pecuario, apícola, cunícola, bioacuático, forestal y carnes en estado natural y los descritos en el art.27.1 de LRTI.</t>
    </r>
  </si>
  <si>
    <t>POR REGALIAS, COMISIONES, ARRENDAMIENTOS Y OTROS</t>
  </si>
  <si>
    <t>Comisiones pagadas a sociedades, nacionales o extranjeras residentes en el Ecuador y establecimientos permanentes domiciliados en el país</t>
  </si>
  <si>
    <t>RELACIONADAS CON EL CAPITAL ( RENDIMIENTOS, GANANCIAS, DIVIDENDOS Y OTROS)</t>
  </si>
  <si>
    <t>OTROS RENDIMIENTOS FINANCIEROS 0%</t>
  </si>
  <si>
    <t>GANANCIA EN LA ENAJENACIÓN DE DERECHOS REPRESENTATIVOS DE CAPITAL U OTROS DERECHOS QUE PERMITAN LA EXPLORACIÓN, EXPLOTACIÓN, CONCESIÓN O SIMILARES DE SOCIEDADES, QUE SE COTICEN EN LAS BOLSAS DE VALORES DEL ECUADOR</t>
  </si>
  <si>
    <t>CONTRAPRESTACIÓN EN LA ENAJENACIÓN DE DERECHOS REPRESENTATIVOS DE CAPITAL U OTROS DERECHOS QUE PERMITAN LA EXPLORACIÓN, EXPLOTACIÓN, CONCESIÓN O SIMILARES DE SOCIEDADES, NO COTIZADOS EN LAS BOLSAS DE VALORES DEL ECUADOR</t>
  </si>
  <si>
    <t>POR LOTERIAS Y PREMIOS</t>
  </si>
  <si>
    <t>LOTERÍAS, RIFAS, APUESTAS, PRONÓSTICOS DEPORTIVOS Y SIMILARES</t>
  </si>
  <si>
    <t>AUTORRETENCIONES Y OTRAS RETENCIONES</t>
  </si>
  <si>
    <t>RETENCIÓN A CARGO DEL PROPIO SUJETO PASIVO POR LA COMERCIALIZACIÓN DE PRODUCTOS FORESTALES</t>
  </si>
  <si>
    <t>OTRAS AUTORETENCIONES (inciso 1 y 2 Art.92.1 RLRTI)</t>
  </si>
  <si>
    <t xml:space="preserve">APLICABLES A OTROS PORCENTAJES ( Por Donaciones en dinero -Impuesto a las donaciones ) </t>
  </si>
  <si>
    <t>LIQUIDACIÓN DE IMPUESTO A LA RENTA ÚNICO</t>
  </si>
  <si>
    <t>IRU BANANO</t>
  </si>
  <si>
    <t>IRU PRONOSTICOS DEPORTIVOS</t>
  </si>
  <si>
    <t>Impuesto a la renta único sobre los ingresos percibidos por los operadores de pronósticos deportivos (vigente desde 01/07/2024)</t>
  </si>
  <si>
    <t>(+) INGRESOS GENERADOS POR LA ACTIVIDAD ECONÓMICA DE PRONÓSTICOS DEPORTIVOS</t>
  </si>
  <si>
    <t>(+) COMISIONES DERIVADAS DE LA ACTIVIDAD DE PRONÓSTICOS DEPORTIVOS</t>
  </si>
  <si>
    <t>(-) PREMIOS PAGADOS POR PRONÓSTICOS DEPORTIVOS</t>
  </si>
  <si>
    <t>IMPUESTO A LA RENTA ÚNICO SOBRE LOS INGRESOS PERCIBIDOS POR LOS OPERADORES DE PRONÓSTICOS DEPORTIVOS</t>
  </si>
  <si>
    <t>Adquisiciones y pagos (excluye activos fijos) gravados tarifa 5% (con derecho a crédito tributario)</t>
  </si>
  <si>
    <t>Tarifa1 de IVA aplicada</t>
  </si>
  <si>
    <t>Tarifa2 de IVA aplicada</t>
  </si>
  <si>
    <t>IVA_Form.104_411/412/420/435</t>
  </si>
  <si>
    <t>IVA-NOR*</t>
  </si>
  <si>
    <t>IVA-NOR</t>
  </si>
  <si>
    <t>IVA-ESP*</t>
  </si>
  <si>
    <t>Con Tarifa IVA Normal Activa * POR DEFECTO</t>
  </si>
  <si>
    <t>Con Tarifa IVA Especial * POR DEFECTO</t>
  </si>
  <si>
    <t>IVA-CONS*</t>
  </si>
  <si>
    <t>Con Tarifa para Construccion * POR DEFECTO</t>
  </si>
  <si>
    <t>Tarifa3 de IVA aplicada</t>
  </si>
  <si>
    <t>Tarifa de IVA</t>
  </si>
  <si>
    <t>Adquisiciones y pagos (excluye activos fijos) gravados tarifa diferente de cero (con derecho a créd.trib.tarifa variable)</t>
  </si>
  <si>
    <t xml:space="preserve">42-Documento retención presuntiva y retención emitida por propio vendedor o por intermediario. </t>
  </si>
  <si>
    <t>Monto de IRBPNR y/o Otros</t>
  </si>
  <si>
    <t>2024.v01</t>
  </si>
  <si>
    <t>01-PAGO A RESIDENTE</t>
  </si>
  <si>
    <t>01-REGIMEN GENERAL</t>
  </si>
  <si>
    <t>07</t>
  </si>
  <si>
    <t>PENDIENTE</t>
  </si>
  <si>
    <t>NORMAL</t>
  </si>
  <si>
    <t>R-Ruc</t>
  </si>
  <si>
    <t>Certifico que la información contenida en el medio magnético del Anexo Transaccional para el período  03-2024, es fiel reflejo del siguiente reporte:</t>
  </si>
  <si>
    <t>Periodo: 03-2024</t>
  </si>
  <si>
    <t>Fecha de Generación: 30/05/2024 11:01:53</t>
  </si>
  <si>
    <t>GRAVABLE</t>
  </si>
  <si>
    <t>02-Sociedad</t>
  </si>
  <si>
    <t>1306304542001</t>
  </si>
  <si>
    <t>1234567890001</t>
  </si>
  <si>
    <t>HA0000001</t>
  </si>
  <si>
    <t>HONO500</t>
  </si>
  <si>
    <t>Base Imp. 1 Gravable IVA diferente de cero</t>
  </si>
  <si>
    <t>Monto-1 de I.V.A.</t>
  </si>
  <si>
    <t xml:space="preserve">Base Imp. 2 Gravable IVA Construcción </t>
  </si>
  <si>
    <t>Monto-2 de I.V.A.</t>
  </si>
  <si>
    <t>Base Imp. 3 Gravable IVA Especial</t>
  </si>
  <si>
    <t>Monto-3 de I.V.A.</t>
  </si>
  <si>
    <t>RUC: 1391922220001</t>
  </si>
  <si>
    <t>302-Ingresos del trabajo en relación de dependencia (varios porcentajes)</t>
  </si>
  <si>
    <t>3480-Impuesto a la renta único sobre los ingresos percibidos por los operadores de pronósticos deportivos</t>
  </si>
  <si>
    <t>Impuesto a la renta único sobre los ingresos percibidos por los operadores de pronósticos deportivos</t>
  </si>
  <si>
    <t>Autorretenciones Sociedades Grandes Contribuyentes</t>
  </si>
  <si>
    <t>Comisiones  a sociedades, nacionales o extranjeras residentes y establecimientos permanentes domiciliados en el país</t>
  </si>
  <si>
    <t>3480</t>
  </si>
  <si>
    <t>3481</t>
  </si>
  <si>
    <t>3482</t>
  </si>
  <si>
    <t>302</t>
  </si>
  <si>
    <t>Ingresos del trabajo en relación de dependencia</t>
  </si>
  <si>
    <t>Año 2025 En dólares</t>
  </si>
  <si>
    <t>Dividendos exentos (por no llegar a franja exenta o beneficio de otras leyes)</t>
  </si>
  <si>
    <t xml:space="preserve">Compras al Productor: de bienes de origen bioacuático, forestal y los descritos  el art.27.1 de LRTI </t>
  </si>
  <si>
    <t>Compras al Comercializador: de bienes de origen bioacuático, forestal y los descritos  el art.27.1 de LRTI</t>
  </si>
  <si>
    <t>3250-Dividendos exentos (por no llegar a franja exenta o beneficio de otras leyes)</t>
  </si>
  <si>
    <t>325-Anticipo dividendos</t>
  </si>
  <si>
    <t>325A-Préstamos accionistas, beneficiarios o partícipes residentes o establecidos en el Ecuador</t>
  </si>
  <si>
    <t>326-Dividendos distribuidos que correspondan al impuesto a la renta único establecido en el art. 27 de la LRTI</t>
  </si>
  <si>
    <t>327-Dividendos distribuidos a personas naturales residentes</t>
  </si>
  <si>
    <t>338-Producción y venta local de banano producido o no por el mismo sujeto pasivo</t>
  </si>
  <si>
    <t>340-Impuesto único a la exportación de banano</t>
  </si>
  <si>
    <t xml:space="preserve">3440-Otras retenciones aplicables el 2,75% </t>
  </si>
  <si>
    <t>346-Otras retenciones aplicables a otros porcentajes</t>
  </si>
  <si>
    <t xml:space="preserve">346B-Donaciones en dinero -Impuesto a las donaciones </t>
  </si>
  <si>
    <t>346D-Retención a cargo del propio sujeto pasivo por la comercialización de productos forestales</t>
  </si>
  <si>
    <t>3481-Autorretenciones Sociedades Grandes Contribuyentes</t>
  </si>
  <si>
    <t>350-Otras autorretenciones (inciso 1 y 2 Art.92.1 RLRTI)</t>
  </si>
  <si>
    <t>500-Pago a no residentes - Rentas Inmobiliarias</t>
  </si>
  <si>
    <t>501-Pago a no residentes - Beneficios/Servicios  Empresariales</t>
  </si>
  <si>
    <t>501A-Pago a no residentes - Servicios técnicos, administrativos o de consultoría y regalías</t>
  </si>
  <si>
    <t>503-Pago a no residentes- Navegación Marítima y/o aérea</t>
  </si>
  <si>
    <t>504-Pago a no residentes- Dividendos distribuidos a personas naturales (domiciliados o no en paraíso fiscal) o a sociedades sin beneficiario efectivo persona natural residente en Ecuador</t>
  </si>
  <si>
    <t>504A-Dividendos a sociedades con beneficiario efectivo persona natural residente en el Ecuador</t>
  </si>
  <si>
    <t>504B-Dividendos a no residentes incumpliendo el deber de informar la composición societaria</t>
  </si>
  <si>
    <t>504C-Dividendos a residentes o establecidos en paraísos fiscales o regímenes de menor imposición (con beneficiario Persona Natural residente en Ecuador)</t>
  </si>
  <si>
    <t>504D-Dividendos a fideicomisos o establecidos en paraísos fiscales o regímenes de menor imposición (con beneficiario Persona Natural residente en Ecuador)</t>
  </si>
  <si>
    <t>504E-Pago a no residentes - Anticipo dividendos (no domiciliada en paraísos fiscales o regímenes de menor imposición)</t>
  </si>
  <si>
    <t>504F-Pago a no residentes - Anticipo dividendos (domiciliadas en paraísos fiscales o regímenes de menor imposición)</t>
  </si>
  <si>
    <t>504G-Pago a no residentes - Préstamos accionistas, beneficiarios o partícipes (no domiciliadas en paraísos fiscales o regímenes de menor imposición)</t>
  </si>
  <si>
    <t>504H-Pago a no residentes - Préstamos accionistas, beneficiarios o partícipes (domiciliadas en paraísos fiscales o regímenes de menor imposición)</t>
  </si>
  <si>
    <t>504I-Pago a no residentes - Préstamos no comerciales a partes relacionadas  (no domiciliadas en paraísos fiscales o regímenes de menor imposición)</t>
  </si>
  <si>
    <t>504J-Pago a no residentes - Préstamos no comerciales a partes relacionadas  (domiciliadas en paraísos fiscales o regímenes de menor imposición)</t>
  </si>
  <si>
    <t>505-Pago a no residentes - Rendimientos financieros</t>
  </si>
  <si>
    <t>505A-Pago a no residentes – Intereses de créditos de Instituciones Financieras del exterior</t>
  </si>
  <si>
    <t>505B-Pago a no residentes – Intereses de créditos de gobierno a gobierno</t>
  </si>
  <si>
    <t>505C-Pago a no residentes – Intereses de créditos de organismos multilaterales</t>
  </si>
  <si>
    <t>505F-Pago a no residentes - Otros Intereses y Rendimientos Financieros</t>
  </si>
  <si>
    <t>509-Pago a no residentes- Cánones, derechos de autor,  marcas, patentes y similares</t>
  </si>
  <si>
    <t>509A-Pago a no residentes - Regalías por concepto de franquicias</t>
  </si>
  <si>
    <t xml:space="preserve">510-Pago a no residentes - Otras ganancias de capital distintas de enajenación de derechos representativos de capital </t>
  </si>
  <si>
    <t>511-Pago a no residentes - Servicios profesionales independientes</t>
  </si>
  <si>
    <t>512-Pago a no residentes - Servicios profesionales dependientes</t>
  </si>
  <si>
    <t>513A-Pago a no residentes - Deportistas</t>
  </si>
  <si>
    <t>514-Pago a no residentes - Participación de consejeros</t>
  </si>
  <si>
    <t xml:space="preserve">515-Pago a no residentes- Artistas y relacionados a  organización, producción y espectáculos artísticos y culturales en Ecuador </t>
  </si>
  <si>
    <t>516-Pago a no residentes - Pensiones</t>
  </si>
  <si>
    <t>517-Pago a no residentes- Reembolso de Gastos</t>
  </si>
  <si>
    <t>518-Pago a no residentes- Funciones Públicas</t>
  </si>
  <si>
    <t>519-Pago a no residentes - Estudiantes</t>
  </si>
  <si>
    <t>520A-Pago a no residentes - Pago a proveedores de servicios hoteleros y turísticos en el exterior</t>
  </si>
  <si>
    <t>520B-Pago a no residentes - Arrendamientos mercantil internacional</t>
  </si>
  <si>
    <t>520D-Pago a no residentes - Comisiones por exportaciones y por promoción de turismo receptivo</t>
  </si>
  <si>
    <t>520F-Pago a no residentes - Por las agencias internacionales de prensa</t>
  </si>
  <si>
    <t>520G-Pago a no residentes - Contratos de fletamento de naves para empresas de transporte aéreo o marítimo internacional</t>
  </si>
  <si>
    <t>521-Pago a no residentes - Enajenación de derechos representativos de capital u otros derechos que permitan la exploración, explotación, concesión o similares de sociedades</t>
  </si>
  <si>
    <t xml:space="preserve">523A-Pago a no residentes - Seguros y reaseguros (primas y cesiones)  </t>
  </si>
  <si>
    <t>525-Pago a no residentes- Donaciones en dinero -Impuesto a las donaciones</t>
  </si>
  <si>
    <t>Utilización o aprovechamiento de la imagen o renombre (personas naturales, sociedades," influencers")</t>
  </si>
  <si>
    <t>Regalías por concepto de franquicias de acuerdo al Código INGENIOS (COESCCI) - pago a personas naturales</t>
  </si>
  <si>
    <t>Cánones, derechos de autor,  marcas, patentes y similares de acuerdo  al Código INGENIOS (COESCCI) – pago a personas naturales</t>
  </si>
  <si>
    <t>Regalías por concepto de franquicias de acuerdo al Código INGENIOS (COESCCI) - pago a sociades</t>
  </si>
  <si>
    <t xml:space="preserve">Cánones, derechos de autor,  marcas, patentes y similares de acuerdo  al Código INGENIOS (COESCCI)  </t>
  </si>
  <si>
    <t>Préstamos accionistas, beneficiarios o partícipes residentes o establecidos en el Ecuador</t>
  </si>
  <si>
    <t>Dividendos distribuidos que correspondan al impuesto a la renta único establecido en el art. 27 de la LRTI</t>
  </si>
  <si>
    <t>Dividendos distribuidos a personas naturales residentes</t>
  </si>
  <si>
    <t>Otras compras de bienes y servicios no sujetas a retención (incluye régimen RIMPE - Negocios Populares, para este caso aplica con cualquier forma de pago inclusive los pagos que deban realizar las tarjetas de crédito/débito)</t>
  </si>
  <si>
    <t>Loterías, rifas, pronósticos deportivos, apuestas y similares</t>
  </si>
  <si>
    <t>Producción y venta local de banano producido o no por el mismo sujeto pasivo</t>
  </si>
  <si>
    <t>Otras retenciones aplicables el 1% (incluye régimen RIMPE - Emprendedores, para este caso aplica con cualquier forma de pago inclusive los pagos que deban realizar las tarjetas de crédito/débito)</t>
  </si>
  <si>
    <t>Recepción de botellas plásticas no retornables de PET</t>
  </si>
  <si>
    <t>Otras retenciones aplicables a otros porcentajes</t>
  </si>
  <si>
    <t>Retención a cargo del propio sujeto pasivo por la producción y/o comercialización de minerales y otros bienes</t>
  </si>
  <si>
    <t>Otras autorretenciones (inciso 1 y 2 Art.92.1 RLRTI)</t>
  </si>
  <si>
    <t>Pago a no residentes - Rentas Inmobiliarias</t>
  </si>
  <si>
    <t>Pago a no residentes - Beneficios/Servicios  Empresariales</t>
  </si>
  <si>
    <t>Pago a no residentes- Navegación Marítima y/o aérea</t>
  </si>
  <si>
    <t>Pago a no residentes- Cánones, derechos de autor,  marcas, patentes y similares</t>
  </si>
  <si>
    <t>Pago a no residentes - Servicios profesionales independientes</t>
  </si>
  <si>
    <t>Pago a no residentes - Servicios profesionales dependientes</t>
  </si>
  <si>
    <t>Pago a no residentes- Artistas</t>
  </si>
  <si>
    <t>Pago a no residentes - Deportistas</t>
  </si>
  <si>
    <t>Pago a no residentes - Participación de consejeros</t>
  </si>
  <si>
    <t>Pago a no residentes - Pensiones</t>
  </si>
  <si>
    <t>Pago a no residentes- Reembolso de Gastos</t>
  </si>
  <si>
    <t>Pago a no residentes- Funciones Públicas</t>
  </si>
  <si>
    <t>Pago a no residentes - Estudiantes</t>
  </si>
  <si>
    <t>Pago a no residentes - Pago a proveedores de servicios hoteleros y turísticos en el exterior</t>
  </si>
  <si>
    <t>Pago a no residentes - Arrendamientos mercantil internacional</t>
  </si>
  <si>
    <t>Pago a no residentes- Dividendos distribuidos a personas naturales (domiciliados o no en paraíso fiscal) o a sociedades sin beneficiario efectivo persona natural residente en Ecuador</t>
  </si>
  <si>
    <t>Dividendos a fideicomisos o establecidos en paraísos fiscales o regímenes de menor imposición (con beneficiario Persona Natural residente en Ecuador)</t>
  </si>
  <si>
    <t>Pago a no residentes - Préstamos accionistas, beneficiarios o partícipes (no domiciliadas en paraísos fiscales o regímenes de menor imposición)</t>
  </si>
  <si>
    <t>Pago a no residentes - Préstamos accionistas, beneficiarios o partícipes (domiciliadas en paraísos fiscales o regímenes de menor imposición)</t>
  </si>
  <si>
    <t>Pago a no residentes - Préstamos no comerciales a partes relacionadas  (no domiciliadas en paraísos fiscales o regímenes de menor imposición)</t>
  </si>
  <si>
    <t>Pago a no residentes - Préstamos no comerciales a partes relacionadas  (domiciliadas en paraísos fiscales o regímenes de menor imposición)</t>
  </si>
  <si>
    <t>Pago a no residentes - Regalías por concepto de franquicias</t>
  </si>
  <si>
    <t xml:space="preserve">Pago a no residentes - Otras ganancias de capital distintas de enajenación de derechos representativos de capital </t>
  </si>
  <si>
    <t xml:space="preserve">Pago a no residentes- Artistas y relacionados a  organización, producción y espectáculos artísticos y culturales en Ecuador </t>
  </si>
  <si>
    <t>Pago a no residentes - Comisiones por exportaciones y por promoción de turismo receptivo</t>
  </si>
  <si>
    <t>Pago a no residentes - Por las agencias internacionales de prensa</t>
  </si>
  <si>
    <t>Pago a no residentes - Contratos de fletamento de naves para empresas de transporte aéreo o marítimo internacional</t>
  </si>
  <si>
    <t>Pago a no residentes - Enajenación de derechos representativos de capital u otros derechos que permitan la exploración, explotación, concesión o similares de sociedades</t>
  </si>
  <si>
    <t>Pago a no residentes- Donaciones en dinero -Impuesto a las donaciones</t>
  </si>
  <si>
    <t>DIVIDENDOS EXENTOS (POR NO SUPERAR LA FRANJA EXENTA O BENEFICIO DE OTRAS LEYES)</t>
  </si>
  <si>
    <t>565</t>
  </si>
  <si>
    <t>Valor de IVA no considerado como crédito tributario por factor de proporcionalidad</t>
  </si>
  <si>
    <t>Si (601-602-603-604-605-606-607-608-623-609-622+610+611+612+613+614) &gt; 0</t>
  </si>
  <si>
    <t>625</t>
  </si>
  <si>
    <t>Ajuste del crédito tributario de Impuesto al Valor Agregado pagado en adquisiciones locales e importaciones de bienes y servicios superior a cinco (5) años</t>
  </si>
  <si>
    <t>VALOR</t>
  </si>
  <si>
    <t>ISD PAGADO</t>
  </si>
  <si>
    <t>700</t>
  </si>
  <si>
    <t>701</t>
  </si>
  <si>
    <t>PORCENTAJE</t>
  </si>
  <si>
    <t>702</t>
  </si>
  <si>
    <t>Importaciones de materias primas, insumos y bienes de capital que sean incorporadas en procesos productivos de bienes que se exporten</t>
  </si>
  <si>
    <t>3250</t>
  </si>
  <si>
    <t>DEMO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</si>
</sst>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3" formatCode="_(* #,##0.00_);_(* \(#,##0.00\);_(* &quot;-&quot;??_);_(@_)"/>
    <numFmt numFmtId="164" formatCode="_ * #,##0.00_ ;_ * \-#,##0.00_ ;_ * &quot;-&quot;??_ ;_ @_ "/>
    <numFmt numFmtId="165" formatCode="_ * #,##0_ ;_ * \-#,##0_ ;_ * &quot;-&quot;??_ ;_ @_ "/>
    <numFmt numFmtId="166" formatCode="_ * #,##0.0000_ ;_ * \-#,##0.0000_ ;_ * &quot;-&quot;??_ ;_ @_ "/>
    <numFmt numFmtId="167" formatCode="mmm\-yyyy"/>
    <numFmt numFmtId="168" formatCode="_-* #,##0.0000_-;\-* #,##0.0000_-;_-* &quot;-&quot;??_-;_-@_-"/>
    <numFmt numFmtId="169" formatCode="_(* #,##0_);_(* \(#,##0\);_(* &quot;-&quot;??_);_(@_)"/>
    <numFmt numFmtId="170" formatCode="dd/mm/yyyy;@"/>
  </numFmts>
  <fonts count="90" x14ac:knownFonts="1">
    <font>
      <sz val="11"/>
      <color theme="1"/>
      <name val="Calibri"/>
      <family val="2"/>
      <scheme val="minor"/>
    </font>
    <font>
      <sz val="11"/>
      <color theme="1"/>
      <name val="Calibri"/>
      <family val="2"/>
      <scheme val="minor"/>
    </font>
    <font>
      <sz val="18"/>
      <color indexed="9"/>
      <name val="Arial"/>
      <family val="2"/>
    </font>
    <font>
      <b/>
      <sz val="10"/>
      <color indexed="9"/>
      <name val="Arial"/>
      <family val="2"/>
    </font>
    <font>
      <sz val="10"/>
      <name val="Arial"/>
      <family val="2"/>
    </font>
    <font>
      <b/>
      <sz val="10"/>
      <name val="Arial"/>
      <family val="2"/>
    </font>
    <font>
      <sz val="10"/>
      <name val="Arial"/>
      <family val="2"/>
    </font>
    <font>
      <b/>
      <sz val="11"/>
      <name val="Arial"/>
      <family val="2"/>
    </font>
    <font>
      <sz val="9"/>
      <name val="Arial"/>
      <family val="2"/>
    </font>
    <font>
      <sz val="14"/>
      <name val="Arial"/>
      <family val="2"/>
    </font>
    <font>
      <sz val="12"/>
      <name val="Arial"/>
      <family val="2"/>
    </font>
    <font>
      <b/>
      <sz val="9"/>
      <name val="Arial"/>
      <family val="2"/>
    </font>
    <font>
      <b/>
      <sz val="14"/>
      <name val="Arial"/>
      <family val="2"/>
    </font>
    <font>
      <b/>
      <sz val="12"/>
      <name val="Arial"/>
      <family val="2"/>
    </font>
    <font>
      <sz val="8"/>
      <name val="Arial"/>
      <family val="2"/>
    </font>
    <font>
      <b/>
      <sz val="16"/>
      <name val="Arial"/>
      <family val="2"/>
    </font>
    <font>
      <sz val="7"/>
      <name val="Arial"/>
      <family val="2"/>
    </font>
    <font>
      <b/>
      <sz val="8"/>
      <name val="Arial"/>
      <family val="2"/>
    </font>
    <font>
      <sz val="18"/>
      <name val="Arial"/>
      <family val="2"/>
    </font>
    <font>
      <b/>
      <i/>
      <sz val="9"/>
      <name val="Arial"/>
      <family val="2"/>
    </font>
    <font>
      <sz val="11"/>
      <color indexed="8"/>
      <name val="Calibri"/>
      <family val="2"/>
    </font>
    <font>
      <sz val="11"/>
      <color indexed="8"/>
      <name val="Arial"/>
      <family val="2"/>
      <charset val="1"/>
    </font>
    <font>
      <sz val="8"/>
      <color theme="0"/>
      <name val="Arial"/>
      <family val="2"/>
    </font>
    <font>
      <b/>
      <sz val="11"/>
      <color theme="0"/>
      <name val="Calibri"/>
      <family val="2"/>
      <scheme val="minor"/>
    </font>
    <font>
      <b/>
      <sz val="11"/>
      <color theme="1"/>
      <name val="Calibri"/>
      <family val="2"/>
      <scheme val="minor"/>
    </font>
    <font>
      <b/>
      <sz val="18"/>
      <name val="Cambria"/>
      <family val="1"/>
      <scheme val="major"/>
    </font>
    <font>
      <sz val="18"/>
      <name val="Cambria"/>
      <family val="1"/>
      <scheme val="major"/>
    </font>
    <font>
      <b/>
      <u/>
      <sz val="18"/>
      <name val="Cambria"/>
      <family val="1"/>
      <scheme val="major"/>
    </font>
    <font>
      <b/>
      <sz val="8"/>
      <color theme="0"/>
      <name val="Arial"/>
      <family val="2"/>
    </font>
    <font>
      <b/>
      <sz val="8"/>
      <color indexed="9"/>
      <name val="Arial"/>
      <family val="2"/>
    </font>
    <font>
      <sz val="10"/>
      <name val="Calibri"/>
      <family val="2"/>
      <scheme val="minor"/>
    </font>
    <font>
      <sz val="9"/>
      <name val="Cambria"/>
      <family val="1"/>
      <scheme val="major"/>
    </font>
    <font>
      <b/>
      <sz val="9"/>
      <color theme="0"/>
      <name val="Cambria"/>
      <family val="1"/>
      <scheme val="major"/>
    </font>
    <font>
      <b/>
      <sz val="14"/>
      <color indexed="59"/>
      <name val="Cambria"/>
      <family val="1"/>
      <scheme val="major"/>
    </font>
    <font>
      <b/>
      <sz val="9"/>
      <name val="Cambria"/>
      <family val="1"/>
      <scheme val="major"/>
    </font>
    <font>
      <b/>
      <sz val="9"/>
      <color indexed="59"/>
      <name val="Cambria"/>
      <family val="1"/>
      <scheme val="major"/>
    </font>
    <font>
      <sz val="9"/>
      <color theme="1"/>
      <name val="Cambria"/>
      <family val="1"/>
      <scheme val="major"/>
    </font>
    <font>
      <strike/>
      <sz val="9"/>
      <name val="Cambria"/>
      <family val="1"/>
      <scheme val="major"/>
    </font>
    <font>
      <sz val="9"/>
      <color theme="0"/>
      <name val="Cambria"/>
      <family val="1"/>
      <scheme val="major"/>
    </font>
    <font>
      <b/>
      <sz val="9"/>
      <color indexed="9"/>
      <name val="Cambria"/>
      <family val="1"/>
      <scheme val="major"/>
    </font>
    <font>
      <b/>
      <i/>
      <sz val="9"/>
      <color indexed="59"/>
      <name val="Cambria"/>
      <family val="1"/>
      <scheme val="major"/>
    </font>
    <font>
      <b/>
      <i/>
      <u/>
      <sz val="9"/>
      <name val="Cambria"/>
      <family val="1"/>
      <scheme val="major"/>
    </font>
    <font>
      <b/>
      <i/>
      <sz val="9"/>
      <name val="Cambria"/>
      <family val="1"/>
      <scheme val="major"/>
    </font>
    <font>
      <b/>
      <sz val="16"/>
      <color indexed="59"/>
      <name val="Cambria"/>
      <family val="1"/>
      <scheme val="major"/>
    </font>
    <font>
      <sz val="14"/>
      <color indexed="59"/>
      <name val="Cambria"/>
      <family val="1"/>
      <scheme val="major"/>
    </font>
    <font>
      <b/>
      <sz val="16"/>
      <name val="Cambria"/>
      <family val="1"/>
      <scheme val="major"/>
    </font>
    <font>
      <sz val="11"/>
      <color theme="0"/>
      <name val="Calibri"/>
      <family val="2"/>
      <scheme val="minor"/>
    </font>
    <font>
      <sz val="8"/>
      <name val="Cambria"/>
      <family val="1"/>
      <scheme val="major"/>
    </font>
    <font>
      <b/>
      <sz val="8"/>
      <name val="Cambria"/>
      <family val="1"/>
      <scheme val="major"/>
    </font>
    <font>
      <u/>
      <sz val="10"/>
      <name val="Arial"/>
      <family val="2"/>
    </font>
    <font>
      <b/>
      <u/>
      <sz val="10"/>
      <name val="Arial"/>
      <family val="2"/>
    </font>
    <font>
      <b/>
      <i/>
      <sz val="10"/>
      <name val="Arial"/>
      <family val="2"/>
    </font>
    <font>
      <sz val="12"/>
      <name val="Cambria"/>
      <family val="1"/>
      <scheme val="major"/>
    </font>
    <font>
      <u/>
      <sz val="10"/>
      <color indexed="12"/>
      <name val="Arial"/>
      <family val="2"/>
    </font>
    <font>
      <sz val="10"/>
      <color theme="1"/>
      <name val="Arial"/>
      <family val="2"/>
    </font>
    <font>
      <sz val="8"/>
      <name val="Calibri"/>
      <family val="2"/>
      <scheme val="minor"/>
    </font>
    <font>
      <sz val="16"/>
      <name val="Cambria"/>
      <family val="1"/>
      <scheme val="major"/>
    </font>
    <font>
      <b/>
      <sz val="9"/>
      <color theme="1"/>
      <name val="Cambria"/>
      <family val="1"/>
      <scheme val="major"/>
    </font>
    <font>
      <u/>
      <sz val="11"/>
      <color theme="10"/>
      <name val="Calibri"/>
      <family val="2"/>
      <scheme val="minor"/>
    </font>
    <font>
      <b/>
      <sz val="12"/>
      <color indexed="9"/>
      <name val="Calibri"/>
      <family val="2"/>
    </font>
    <font>
      <sz val="12"/>
      <name val="Calibri"/>
      <family val="2"/>
    </font>
    <font>
      <sz val="9"/>
      <color indexed="81"/>
      <name val="Tahoma"/>
      <family val="2"/>
    </font>
    <font>
      <b/>
      <sz val="9"/>
      <color indexed="81"/>
      <name val="Tahoma"/>
      <family val="2"/>
    </font>
    <font>
      <b/>
      <i/>
      <sz val="9"/>
      <color theme="1"/>
      <name val="Cambria"/>
      <family val="1"/>
      <scheme val="major"/>
    </font>
    <font>
      <b/>
      <i/>
      <sz val="9"/>
      <color theme="0"/>
      <name val="Cambria"/>
      <family val="1"/>
      <scheme val="major"/>
    </font>
    <font>
      <b/>
      <sz val="10"/>
      <color theme="8" tint="0.79998168889431442"/>
      <name val="Arial"/>
      <family val="2"/>
    </font>
    <font>
      <b/>
      <sz val="11"/>
      <color theme="3" tint="-0.499984740745262"/>
      <name val="Arial"/>
      <family val="2"/>
    </font>
    <font>
      <b/>
      <u/>
      <sz val="11"/>
      <color theme="3" tint="-0.499984740745262"/>
      <name val="Arial"/>
      <family val="2"/>
    </font>
    <font>
      <sz val="11"/>
      <color theme="3" tint="-0.499984740745262"/>
      <name val="Arial"/>
      <family val="2"/>
    </font>
    <font>
      <sz val="10"/>
      <color theme="8" tint="0.79998168889431442"/>
      <name val="Arial"/>
      <family val="2"/>
    </font>
    <font>
      <sz val="10"/>
      <name val="Calibri"/>
      <family val="2"/>
    </font>
    <font>
      <sz val="8"/>
      <name val="Calibri"/>
      <family val="2"/>
    </font>
    <font>
      <b/>
      <sz val="11"/>
      <color theme="8" tint="0.79998168889431442"/>
      <name val="Arial"/>
      <family val="2"/>
    </font>
    <font>
      <b/>
      <u/>
      <sz val="11"/>
      <color theme="10"/>
      <name val="Calibri"/>
      <family val="2"/>
      <scheme val="minor"/>
    </font>
    <font>
      <b/>
      <sz val="10"/>
      <color theme="1"/>
      <name val="Arial"/>
      <family val="2"/>
    </font>
    <font>
      <sz val="11"/>
      <color theme="8" tint="0.79998168889431442"/>
      <name val="Calibri"/>
      <family val="2"/>
      <scheme val="minor"/>
    </font>
    <font>
      <b/>
      <sz val="12"/>
      <color theme="1"/>
      <name val="Calibri"/>
      <family val="2"/>
      <scheme val="minor"/>
    </font>
    <font>
      <b/>
      <sz val="24"/>
      <color indexed="8"/>
      <name val="Arial"/>
      <family val="2"/>
    </font>
    <font>
      <sz val="18"/>
      <color indexed="8"/>
      <name val="Arial"/>
      <family val="2"/>
    </font>
    <font>
      <sz val="12"/>
      <color indexed="8"/>
      <name val="Arial"/>
      <family val="2"/>
    </font>
    <font>
      <sz val="10"/>
      <color indexed="63"/>
      <name val="Arial"/>
      <family val="2"/>
    </font>
    <font>
      <i/>
      <sz val="10"/>
      <color indexed="23"/>
      <name val="Arial"/>
      <family val="2"/>
    </font>
    <font>
      <sz val="10"/>
      <color indexed="58"/>
      <name val="Arial"/>
      <family val="2"/>
    </font>
    <font>
      <sz val="10"/>
      <color indexed="19"/>
      <name val="Arial"/>
      <family val="2"/>
    </font>
    <font>
      <sz val="10"/>
      <color indexed="16"/>
      <name val="Arial"/>
      <family val="2"/>
    </font>
    <font>
      <b/>
      <sz val="10"/>
      <color indexed="8"/>
      <name val="Arial"/>
      <family val="2"/>
    </font>
    <font>
      <sz val="10"/>
      <color indexed="9"/>
      <name val="Arial"/>
      <family val="2"/>
    </font>
    <font>
      <sz val="9"/>
      <color theme="1"/>
      <name val="Calibri"/>
      <family val="2"/>
      <scheme val="minor"/>
    </font>
    <font>
      <sz val="9"/>
      <color indexed="9"/>
      <name val="Cambria"/>
      <family val="1"/>
      <scheme val="major"/>
    </font>
    <font>
      <sz val="11"/>
      <name val="Arial"/>
      <family val="2"/>
    </font>
  </fonts>
  <fills count="32">
    <fill>
      <patternFill patternType="none"/>
    </fill>
    <fill>
      <patternFill patternType="gray125"/>
    </fill>
    <fill>
      <patternFill patternType="solid">
        <fgColor indexed="18"/>
        <bgColor indexed="64"/>
      </patternFill>
    </fill>
    <fill>
      <patternFill patternType="solid">
        <fgColor indexed="8"/>
        <bgColor indexed="64"/>
      </patternFill>
    </fill>
    <fill>
      <patternFill patternType="solid">
        <fgColor indexed="42"/>
        <bgColor indexed="64"/>
      </patternFill>
    </fill>
    <fill>
      <patternFill patternType="solid">
        <fgColor rgb="FFFFFF00"/>
        <bgColor indexed="64"/>
      </patternFill>
    </fill>
    <fill>
      <patternFill patternType="solid">
        <fgColor theme="7" tint="-0.249977111117893"/>
        <bgColor indexed="64"/>
      </patternFill>
    </fill>
    <fill>
      <patternFill patternType="solid">
        <fgColor indexed="22"/>
        <bgColor indexed="64"/>
      </patternFill>
    </fill>
    <fill>
      <patternFill patternType="solid">
        <fgColor indexed="29"/>
        <bgColor indexed="64"/>
      </patternFill>
    </fill>
    <fill>
      <patternFill patternType="solid">
        <fgColor indexed="9"/>
        <bgColor indexed="64"/>
      </patternFill>
    </fill>
    <fill>
      <patternFill patternType="solid">
        <fgColor indexed="41"/>
        <bgColor indexed="64"/>
      </patternFill>
    </fill>
    <fill>
      <patternFill patternType="solid">
        <fgColor indexed="55"/>
        <bgColor indexed="64"/>
      </patternFill>
    </fill>
    <fill>
      <patternFill patternType="solid">
        <fgColor theme="0" tint="-0.249977111117893"/>
        <bgColor indexed="64"/>
      </patternFill>
    </fill>
    <fill>
      <patternFill patternType="solid">
        <fgColor rgb="FF66FF33"/>
        <bgColor indexed="64"/>
      </patternFill>
    </fill>
    <fill>
      <patternFill patternType="solid">
        <fgColor rgb="FF92D050"/>
        <bgColor indexed="64"/>
      </patternFill>
    </fill>
    <fill>
      <patternFill patternType="solid">
        <fgColor rgb="FF002060"/>
        <bgColor indexed="64"/>
      </patternFill>
    </fill>
    <fill>
      <patternFill patternType="solid">
        <fgColor theme="8" tint="0.59999389629810485"/>
        <bgColor indexed="64"/>
      </patternFill>
    </fill>
    <fill>
      <patternFill patternType="solid">
        <fgColor rgb="FF7030A0"/>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indexed="62"/>
        <bgColor indexed="64"/>
      </patternFill>
    </fill>
    <fill>
      <patternFill patternType="solid">
        <fgColor theme="8" tint="0.79998168889431442"/>
        <bgColor indexed="64"/>
      </patternFill>
    </fill>
    <fill>
      <patternFill patternType="solid">
        <fgColor theme="8" tint="0.59999389629810485"/>
        <bgColor indexed="9"/>
      </patternFill>
    </fill>
    <fill>
      <patternFill patternType="solid">
        <fgColor indexed="8"/>
        <bgColor indexed="18"/>
      </patternFill>
    </fill>
    <fill>
      <patternFill patternType="solid">
        <fgColor indexed="23"/>
        <bgColor indexed="55"/>
      </patternFill>
    </fill>
    <fill>
      <patternFill patternType="solid">
        <fgColor indexed="31"/>
        <bgColor indexed="47"/>
      </patternFill>
    </fill>
    <fill>
      <patternFill patternType="solid">
        <fgColor indexed="47"/>
        <bgColor indexed="31"/>
      </patternFill>
    </fill>
    <fill>
      <patternFill patternType="solid">
        <fgColor indexed="16"/>
        <bgColor indexed="10"/>
      </patternFill>
    </fill>
    <fill>
      <patternFill patternType="solid">
        <fgColor indexed="42"/>
        <bgColor indexed="27"/>
      </patternFill>
    </fill>
    <fill>
      <patternFill patternType="solid">
        <fgColor indexed="26"/>
        <bgColor indexed="9"/>
      </patternFill>
    </fill>
    <fill>
      <patternFill patternType="solid">
        <fgColor theme="4" tint="0.79998168889431442"/>
        <bgColor indexed="64"/>
      </patternFill>
    </fill>
    <fill>
      <patternFill patternType="solid">
        <fgColor theme="0" tint="-0.14999847407452621"/>
        <bgColor indexed="64"/>
      </patternFill>
    </fill>
  </fills>
  <borders count="148">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double">
        <color indexed="64"/>
      </top>
      <bottom/>
      <diagonal/>
    </border>
    <border>
      <left/>
      <right/>
      <top style="double">
        <color indexed="64"/>
      </top>
      <bottom/>
      <diagonal/>
    </border>
    <border>
      <left/>
      <right style="medium">
        <color indexed="64"/>
      </right>
      <top style="double">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top/>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dashDotDot">
        <color indexed="64"/>
      </left>
      <right/>
      <top style="thin">
        <color indexed="64"/>
      </top>
      <bottom style="medium">
        <color indexed="64"/>
      </bottom>
      <diagonal/>
    </border>
    <border>
      <left style="dotted">
        <color indexed="64"/>
      </left>
      <right/>
      <top style="thin">
        <color indexed="64"/>
      </top>
      <bottom style="medium">
        <color indexed="64"/>
      </bottom>
      <diagonal/>
    </border>
    <border>
      <left style="medium">
        <color indexed="64"/>
      </left>
      <right style="dotted">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thin">
        <color indexed="64"/>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medium">
        <color indexed="64"/>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medium">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right style="thin">
        <color indexed="64"/>
      </right>
      <top/>
      <bottom style="medium">
        <color indexed="64"/>
      </bottom>
      <diagonal/>
    </border>
    <border>
      <left/>
      <right style="thin">
        <color indexed="64"/>
      </right>
      <top style="medium">
        <color indexed="64"/>
      </top>
      <bottom/>
      <diagonal/>
    </border>
    <border>
      <left style="medium">
        <color indexed="64"/>
      </left>
      <right style="medium">
        <color indexed="64"/>
      </right>
      <top style="medium">
        <color indexed="64"/>
      </top>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right style="thin">
        <color theme="0"/>
      </right>
      <top/>
      <bottom/>
      <diagonal/>
    </border>
    <border>
      <left style="thin">
        <color theme="0"/>
      </left>
      <right style="thin">
        <color theme="0"/>
      </right>
      <top/>
      <bottom/>
      <diagonal/>
    </border>
    <border>
      <left style="thin">
        <color theme="0"/>
      </left>
      <right/>
      <top/>
      <bottom style="thin">
        <color theme="0"/>
      </bottom>
      <diagonal/>
    </border>
    <border>
      <left/>
      <right/>
      <top/>
      <bottom style="thin">
        <color theme="0"/>
      </bottom>
      <diagonal/>
    </border>
    <border>
      <left style="thin">
        <color theme="0"/>
      </left>
      <right style="thin">
        <color theme="0"/>
      </right>
      <top style="thin">
        <color indexed="64"/>
      </top>
      <bottom style="thin">
        <color theme="0"/>
      </bottom>
      <diagonal/>
    </border>
    <border>
      <left style="thin">
        <color theme="0"/>
      </left>
      <right style="thin">
        <color indexed="64"/>
      </right>
      <top style="thin">
        <color indexed="64"/>
      </top>
      <bottom style="thin">
        <color theme="0"/>
      </bottom>
      <diagonal/>
    </border>
    <border>
      <left style="thin">
        <color indexed="64"/>
      </left>
      <right style="thin">
        <color theme="0"/>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style="thin">
        <color theme="0"/>
      </right>
      <top/>
      <bottom style="thin">
        <color theme="0"/>
      </bottom>
      <diagonal/>
    </border>
    <border>
      <left style="thin">
        <color theme="0"/>
      </left>
      <right style="thin">
        <color theme="0"/>
      </right>
      <top/>
      <bottom style="thin">
        <color indexed="64"/>
      </bottom>
      <diagonal/>
    </border>
    <border>
      <left style="thin">
        <color theme="0"/>
      </left>
      <right style="thin">
        <color indexed="64"/>
      </right>
      <top style="thin">
        <color theme="0"/>
      </top>
      <bottom/>
      <diagonal/>
    </border>
    <border>
      <left style="medium">
        <color theme="0"/>
      </left>
      <right style="medium">
        <color theme="0"/>
      </right>
      <top style="medium">
        <color theme="0"/>
      </top>
      <bottom style="medium">
        <color indexed="64"/>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right/>
      <top style="thin">
        <color theme="0" tint="-0.34998626667073579"/>
      </top>
      <bottom style="thin">
        <color theme="0" tint="-0.34998626667073579"/>
      </bottom>
      <diagonal/>
    </border>
    <border>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bottom style="double">
        <color indexed="64"/>
      </bottom>
      <diagonal/>
    </border>
    <border>
      <left style="thin">
        <color theme="0"/>
      </left>
      <right/>
      <top/>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thin">
        <color indexed="64"/>
      </left>
      <right style="thin">
        <color indexed="64"/>
      </right>
      <top/>
      <bottom/>
      <diagonal/>
    </border>
    <border>
      <left style="dashDot">
        <color indexed="64"/>
      </left>
      <right/>
      <top/>
      <bottom/>
      <diagonal/>
    </border>
    <border>
      <left/>
      <right style="dashDot">
        <color indexed="64"/>
      </right>
      <top/>
      <bottom/>
      <diagonal/>
    </border>
    <border>
      <left style="dashDot">
        <color indexed="64"/>
      </left>
      <right style="dashDot">
        <color indexed="64"/>
      </right>
      <top/>
      <bottom style="thin">
        <color indexed="64"/>
      </bottom>
      <diagonal/>
    </border>
    <border>
      <left style="dashDot">
        <color indexed="64"/>
      </left>
      <right/>
      <top/>
      <bottom style="thin">
        <color indexed="64"/>
      </bottom>
      <diagonal/>
    </border>
    <border>
      <left/>
      <right style="dashDot">
        <color indexed="64"/>
      </right>
      <top/>
      <bottom style="thin">
        <color indexed="64"/>
      </bottom>
      <diagonal/>
    </border>
    <border>
      <left/>
      <right/>
      <top style="thin">
        <color indexed="64"/>
      </top>
      <bottom style="double">
        <color indexed="64"/>
      </bottom>
      <diagonal/>
    </border>
    <border>
      <left style="thin">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double">
        <color indexed="64"/>
      </top>
      <bottom style="double">
        <color indexed="64"/>
      </bottom>
      <diagonal/>
    </border>
    <border>
      <left/>
      <right/>
      <top style="double">
        <color indexed="64"/>
      </top>
      <bottom style="double">
        <color indexed="64"/>
      </bottom>
      <diagonal/>
    </border>
    <border>
      <left/>
      <right style="medium">
        <color indexed="64"/>
      </right>
      <top style="double">
        <color indexed="64"/>
      </top>
      <bottom style="double">
        <color indexed="64"/>
      </bottom>
      <diagonal/>
    </border>
    <border>
      <left style="medium">
        <color indexed="64"/>
      </left>
      <right/>
      <top style="double">
        <color indexed="64"/>
      </top>
      <bottom style="double">
        <color indexed="64"/>
      </bottom>
      <diagonal/>
    </border>
    <border>
      <left style="medium">
        <color indexed="64"/>
      </left>
      <right/>
      <top style="thin">
        <color indexed="64"/>
      </top>
      <bottom style="medium">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top style="double">
        <color indexed="64"/>
      </top>
      <bottom style="thin">
        <color indexed="64"/>
      </bottom>
      <diagonal/>
    </border>
    <border>
      <left/>
      <right style="medium">
        <color indexed="64"/>
      </right>
      <top style="double">
        <color indexed="64"/>
      </top>
      <bottom style="thin">
        <color indexed="64"/>
      </bottom>
      <diagonal/>
    </border>
    <border>
      <left style="medium">
        <color indexed="64"/>
      </left>
      <right/>
      <top style="double">
        <color indexed="64"/>
      </top>
      <bottom style="thin">
        <color indexed="64"/>
      </bottom>
      <diagonal/>
    </border>
    <border>
      <left style="thin">
        <color indexed="23"/>
      </left>
      <right style="thin">
        <color indexed="23"/>
      </right>
      <top style="thin">
        <color indexed="23"/>
      </top>
      <bottom style="thin">
        <color indexed="23"/>
      </bottom>
      <diagonal/>
    </border>
    <border>
      <left style="thin">
        <color theme="0"/>
      </left>
      <right style="thin">
        <color theme="0"/>
      </right>
      <top style="thin">
        <color theme="0"/>
      </top>
      <bottom style="medium">
        <color indexed="64"/>
      </bottom>
      <diagonal/>
    </border>
    <border>
      <left style="thin">
        <color theme="0"/>
      </left>
      <right style="thin">
        <color theme="0"/>
      </right>
      <top style="medium">
        <color indexed="64"/>
      </top>
      <bottom style="thin">
        <color theme="0"/>
      </bottom>
      <diagonal/>
    </border>
    <border>
      <left style="thin">
        <color indexed="64"/>
      </left>
      <right style="medium">
        <color theme="0"/>
      </right>
      <top style="thin">
        <color indexed="64"/>
      </top>
      <bottom style="medium">
        <color theme="0"/>
      </bottom>
      <diagonal/>
    </border>
    <border>
      <left style="medium">
        <color theme="0"/>
      </left>
      <right style="medium">
        <color theme="0"/>
      </right>
      <top style="thin">
        <color indexed="64"/>
      </top>
      <bottom style="medium">
        <color theme="0"/>
      </bottom>
      <diagonal/>
    </border>
    <border>
      <left style="medium">
        <color theme="0"/>
      </left>
      <right/>
      <top style="thin">
        <color indexed="64"/>
      </top>
      <bottom style="medium">
        <color theme="0"/>
      </bottom>
      <diagonal/>
    </border>
    <border>
      <left/>
      <right style="thin">
        <color theme="0"/>
      </right>
      <top style="thin">
        <color theme="0"/>
      </top>
      <bottom style="thin">
        <color theme="0"/>
      </bottom>
      <diagonal/>
    </border>
    <border>
      <left style="thin">
        <color indexed="64"/>
      </left>
      <right style="thin">
        <color theme="0"/>
      </right>
      <top style="thin">
        <color indexed="64"/>
      </top>
      <bottom style="thin">
        <color theme="0"/>
      </bottom>
      <diagonal/>
    </border>
    <border>
      <left/>
      <right/>
      <top style="thin">
        <color theme="0"/>
      </top>
      <bottom style="thin">
        <color theme="0"/>
      </bottom>
      <diagonal/>
    </border>
    <border>
      <left style="thin">
        <color theme="0"/>
      </left>
      <right/>
      <top style="thin">
        <color indexed="64"/>
      </top>
      <bottom style="thin">
        <color theme="0"/>
      </bottom>
      <diagonal/>
    </border>
    <border>
      <left/>
      <right style="thin">
        <color theme="0"/>
      </right>
      <top style="thin">
        <color indexed="64"/>
      </top>
      <bottom style="thin">
        <color theme="0"/>
      </bottom>
      <diagonal/>
    </border>
    <border>
      <left style="thin">
        <color theme="0"/>
      </left>
      <right style="thin">
        <color indexed="64"/>
      </right>
      <top style="thin">
        <color indexed="64"/>
      </top>
      <bottom style="thin">
        <color indexed="64"/>
      </bottom>
      <diagonal/>
    </border>
    <border>
      <left/>
      <right/>
      <top style="thin">
        <color indexed="64"/>
      </top>
      <bottom style="thin">
        <color theme="0"/>
      </bottom>
      <diagonal/>
    </border>
    <border>
      <left style="thin">
        <color theme="0"/>
      </left>
      <right style="thin">
        <color theme="0"/>
      </right>
      <top style="thin">
        <color indexed="64"/>
      </top>
      <bottom style="thin">
        <color indexed="64"/>
      </bottom>
      <diagonal/>
    </border>
    <border>
      <left style="thin">
        <color theme="0"/>
      </left>
      <right style="thin">
        <color theme="0"/>
      </right>
      <top style="thin">
        <color indexed="64"/>
      </top>
      <bottom/>
      <diagonal/>
    </border>
    <border>
      <left style="thin">
        <color theme="0"/>
      </left>
      <right style="thin">
        <color indexed="64"/>
      </right>
      <top style="thin">
        <color indexed="64"/>
      </top>
      <bottom/>
      <diagonal/>
    </border>
    <border>
      <left style="thin">
        <color indexed="64"/>
      </left>
      <right style="thin">
        <color theme="0"/>
      </right>
      <top style="thin">
        <color indexed="64"/>
      </top>
      <bottom/>
      <diagonal/>
    </border>
    <border>
      <left/>
      <right style="thin">
        <color theme="0"/>
      </right>
      <top style="thin">
        <color indexed="64"/>
      </top>
      <bottom/>
      <diagonal/>
    </border>
    <border>
      <left style="medium">
        <color indexed="64"/>
      </left>
      <right style="thin">
        <color theme="0"/>
      </right>
      <top style="medium">
        <color indexed="64"/>
      </top>
      <bottom style="thin">
        <color theme="0"/>
      </bottom>
      <diagonal/>
    </border>
    <border>
      <left style="thin">
        <color theme="0"/>
      </left>
      <right style="medium">
        <color indexed="64"/>
      </right>
      <top style="medium">
        <color indexed="64"/>
      </top>
      <bottom style="thin">
        <color theme="0"/>
      </bottom>
      <diagonal/>
    </border>
    <border>
      <left style="thin">
        <color indexed="64"/>
      </left>
      <right style="thin">
        <color theme="0"/>
      </right>
      <top style="thin">
        <color theme="0"/>
      </top>
      <bottom/>
      <diagonal/>
    </border>
    <border>
      <left style="thin">
        <color theme="0"/>
      </left>
      <right/>
      <top style="thin">
        <color indexed="64"/>
      </top>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indexed="64"/>
      </left>
      <right style="thin">
        <color theme="0"/>
      </right>
      <top/>
      <bottom/>
      <diagonal/>
    </border>
    <border>
      <left style="thin">
        <color theme="0"/>
      </left>
      <right style="thin">
        <color indexed="64"/>
      </right>
      <top/>
      <bottom/>
      <diagonal/>
    </border>
    <border>
      <left style="thin">
        <color indexed="64"/>
      </left>
      <right style="medium">
        <color theme="0"/>
      </right>
      <top style="medium">
        <color theme="0"/>
      </top>
      <bottom/>
      <diagonal/>
    </border>
    <border>
      <left style="medium">
        <color theme="0"/>
      </left>
      <right style="medium">
        <color theme="0"/>
      </right>
      <top style="medium">
        <color theme="0"/>
      </top>
      <bottom/>
      <diagonal/>
    </border>
    <border>
      <left style="thin">
        <color theme="0"/>
      </left>
      <right style="thin">
        <color theme="0"/>
      </right>
      <top style="medium">
        <color indexed="64"/>
      </top>
      <bottom/>
      <diagonal/>
    </border>
  </borders>
  <cellStyleXfs count="42">
    <xf numFmtId="0" fontId="0" fillId="0" borderId="0"/>
    <xf numFmtId="43" fontId="1" fillId="0" borderId="0" applyFont="0" applyFill="0" applyBorder="0" applyAlignment="0" applyProtection="0"/>
    <xf numFmtId="9" fontId="1" fillId="0" borderId="0" applyFont="0" applyFill="0" applyBorder="0" applyAlignment="0" applyProtection="0"/>
    <xf numFmtId="0" fontId="6" fillId="0" borderId="0" applyFont="0" applyFill="0" applyBorder="0" applyAlignment="0" applyProtection="0"/>
    <xf numFmtId="0" fontId="4" fillId="0" borderId="0"/>
    <xf numFmtId="0" fontId="4" fillId="0" borderId="0" applyFont="0" applyFill="0" applyBorder="0" applyAlignment="0" applyProtection="0"/>
    <xf numFmtId="0" fontId="20" fillId="0" borderId="0"/>
    <xf numFmtId="0" fontId="21" fillId="0" borderId="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0" fontId="4" fillId="0" borderId="0" applyFont="0" applyFill="0" applyBorder="0" applyAlignment="0" applyProtection="0"/>
    <xf numFmtId="43" fontId="4" fillId="0" borderId="0" applyFont="0" applyFill="0" applyBorder="0" applyAlignment="0" applyProtection="0"/>
    <xf numFmtId="0" fontId="4" fillId="0" borderId="0"/>
    <xf numFmtId="164" fontId="4" fillId="0" borderId="0" applyFont="0" applyFill="0" applyBorder="0" applyAlignment="0" applyProtection="0"/>
    <xf numFmtId="0" fontId="53" fillId="0" borderId="0" applyNumberFormat="0" applyFill="0" applyBorder="0" applyAlignment="0" applyProtection="0">
      <alignment vertical="top"/>
      <protection locked="0"/>
    </xf>
    <xf numFmtId="0" fontId="58" fillId="0" borderId="0" applyNumberFormat="0" applyFill="0" applyBorder="0" applyAlignment="0" applyProtection="0"/>
    <xf numFmtId="0" fontId="1" fillId="0" borderId="0"/>
    <xf numFmtId="9" fontId="20" fillId="0" borderId="0" applyFont="0" applyFill="0" applyBorder="0" applyAlignment="0" applyProtection="0"/>
    <xf numFmtId="0" fontId="85" fillId="0" borderId="0" applyNumberFormat="0" applyFill="0" applyBorder="0" applyAlignment="0" applyProtection="0"/>
    <xf numFmtId="0" fontId="86" fillId="23" borderId="0" applyNumberFormat="0" applyBorder="0" applyAlignment="0" applyProtection="0"/>
    <xf numFmtId="0" fontId="86" fillId="24" borderId="0" applyNumberFormat="0" applyBorder="0" applyAlignment="0" applyProtection="0"/>
    <xf numFmtId="0" fontId="85" fillId="25" borderId="0" applyNumberFormat="0" applyBorder="0" applyAlignment="0" applyProtection="0"/>
    <xf numFmtId="0" fontId="84" fillId="26" borderId="0" applyNumberFormat="0" applyBorder="0" applyAlignment="0" applyProtection="0"/>
    <xf numFmtId="0" fontId="3" fillId="27" borderId="0" applyNumberFormat="0" applyBorder="0" applyAlignment="0" applyProtection="0"/>
    <xf numFmtId="0" fontId="20" fillId="0" borderId="0"/>
    <xf numFmtId="0" fontId="81" fillId="0" borderId="0" applyNumberFormat="0" applyFill="0" applyBorder="0" applyAlignment="0" applyProtection="0"/>
    <xf numFmtId="0" fontId="82" fillId="28" borderId="0" applyNumberFormat="0" applyBorder="0" applyAlignment="0" applyProtection="0"/>
    <xf numFmtId="0" fontId="77" fillId="0" borderId="0" applyNumberFormat="0" applyFill="0" applyBorder="0" applyAlignment="0" applyProtection="0"/>
    <xf numFmtId="0" fontId="78" fillId="0" borderId="0" applyNumberFormat="0" applyFill="0" applyBorder="0" applyAlignment="0" applyProtection="0"/>
    <xf numFmtId="0" fontId="79" fillId="0" borderId="0" applyNumberFormat="0" applyFill="0" applyBorder="0" applyAlignment="0" applyProtection="0"/>
    <xf numFmtId="0" fontId="83" fillId="29" borderId="0" applyNumberFormat="0" applyBorder="0" applyAlignment="0" applyProtection="0"/>
    <xf numFmtId="0" fontId="80" fillId="29" borderId="118" applyNumberFormat="0" applyAlignment="0" applyProtection="0"/>
    <xf numFmtId="0" fontId="4" fillId="0" borderId="0" applyNumberFormat="0" applyFill="0" applyBorder="0" applyAlignment="0" applyProtection="0"/>
    <xf numFmtId="0" fontId="4" fillId="0" borderId="0" applyNumberFormat="0" applyFill="0" applyBorder="0" applyAlignment="0" applyProtection="0"/>
    <xf numFmtId="0" fontId="84" fillId="0" borderId="0" applyNumberFormat="0" applyFill="0" applyBorder="0" applyAlignment="0" applyProtection="0"/>
  </cellStyleXfs>
  <cellXfs count="1420">
    <xf numFmtId="0" fontId="0" fillId="0" borderId="0" xfId="0"/>
    <xf numFmtId="0" fontId="0" fillId="0" borderId="0" xfId="0" applyAlignment="1">
      <alignment vertical="center"/>
    </xf>
    <xf numFmtId="0" fontId="0" fillId="0" borderId="0" xfId="0" applyAlignment="1">
      <alignment horizontal="center" vertical="center"/>
    </xf>
    <xf numFmtId="0" fontId="8" fillId="0" borderId="0" xfId="4" applyFont="1" applyAlignment="1">
      <alignment vertical="center"/>
    </xf>
    <xf numFmtId="0" fontId="8" fillId="0" borderId="31" xfId="4" applyFont="1" applyBorder="1" applyAlignment="1">
      <alignment vertical="center"/>
    </xf>
    <xf numFmtId="0" fontId="8" fillId="0" borderId="32" xfId="4" applyFont="1" applyBorder="1" applyAlignment="1">
      <alignment vertical="center"/>
    </xf>
    <xf numFmtId="0" fontId="8" fillId="0" borderId="33" xfId="4" applyFont="1" applyBorder="1" applyAlignment="1">
      <alignment vertical="center"/>
    </xf>
    <xf numFmtId="0" fontId="8" fillId="0" borderId="4" xfId="4" applyFont="1" applyBorder="1" applyAlignment="1">
      <alignment horizontal="left" vertical="center"/>
    </xf>
    <xf numFmtId="0" fontId="10" fillId="7" borderId="25" xfId="4" applyFont="1" applyFill="1" applyBorder="1" applyAlignment="1">
      <alignment horizontal="center" vertical="center"/>
    </xf>
    <xf numFmtId="0" fontId="10" fillId="0" borderId="31" xfId="4" applyFont="1" applyBorder="1" applyAlignment="1">
      <alignment vertical="center"/>
    </xf>
    <xf numFmtId="0" fontId="10" fillId="0" borderId="32" xfId="4" applyFont="1" applyBorder="1" applyAlignment="1">
      <alignment vertical="center"/>
    </xf>
    <xf numFmtId="0" fontId="8" fillId="0" borderId="34" xfId="4" applyFont="1" applyBorder="1" applyAlignment="1">
      <alignment vertical="center"/>
    </xf>
    <xf numFmtId="0" fontId="8" fillId="0" borderId="35" xfId="4" applyFont="1" applyBorder="1" applyAlignment="1">
      <alignment vertical="center"/>
    </xf>
    <xf numFmtId="0" fontId="8" fillId="0" borderId="32" xfId="4" applyFont="1" applyBorder="1" applyAlignment="1">
      <alignment horizontal="center" vertical="center"/>
    </xf>
    <xf numFmtId="0" fontId="8" fillId="0" borderId="17" xfId="4" applyFont="1" applyBorder="1" applyAlignment="1">
      <alignment vertical="center"/>
    </xf>
    <xf numFmtId="0" fontId="8" fillId="0" borderId="16" xfId="4" applyFont="1" applyBorder="1" applyAlignment="1">
      <alignment vertical="center"/>
    </xf>
    <xf numFmtId="9" fontId="8" fillId="0" borderId="15" xfId="4" applyNumberFormat="1" applyFont="1" applyBorder="1" applyAlignment="1">
      <alignment vertical="center"/>
    </xf>
    <xf numFmtId="0" fontId="10" fillId="7" borderId="36" xfId="4" applyFont="1" applyFill="1" applyBorder="1" applyAlignment="1">
      <alignment horizontal="left" vertical="center"/>
    </xf>
    <xf numFmtId="0" fontId="10" fillId="7" borderId="37" xfId="4" applyFont="1" applyFill="1" applyBorder="1" applyAlignment="1">
      <alignment horizontal="left" vertical="center"/>
    </xf>
    <xf numFmtId="0" fontId="8" fillId="0" borderId="2" xfId="4" applyFont="1" applyBorder="1" applyAlignment="1">
      <alignment vertical="center"/>
    </xf>
    <xf numFmtId="0" fontId="8" fillId="0" borderId="0" xfId="4" applyFont="1" applyAlignment="1">
      <alignment horizontal="center" vertical="center"/>
    </xf>
    <xf numFmtId="0" fontId="8" fillId="0" borderId="13" xfId="4" applyFont="1" applyBorder="1" applyAlignment="1">
      <alignment horizontal="center" vertical="center"/>
    </xf>
    <xf numFmtId="0" fontId="8" fillId="0" borderId="13" xfId="4" applyFont="1" applyBorder="1" applyAlignment="1">
      <alignment horizontal="left" vertical="center"/>
    </xf>
    <xf numFmtId="0" fontId="8" fillId="0" borderId="1" xfId="4" applyFont="1" applyBorder="1" applyAlignment="1">
      <alignment vertical="center"/>
    </xf>
    <xf numFmtId="0" fontId="11" fillId="0" borderId="0" xfId="4" applyFont="1" applyAlignment="1">
      <alignment horizontal="center" vertical="center"/>
    </xf>
    <xf numFmtId="0" fontId="11" fillId="0" borderId="1" xfId="4" applyFont="1" applyBorder="1" applyAlignment="1">
      <alignment horizontal="center" vertical="center"/>
    </xf>
    <xf numFmtId="0" fontId="8" fillId="0" borderId="38" xfId="4" applyFont="1" applyBorder="1" applyAlignment="1">
      <alignment horizontal="left" vertical="center"/>
    </xf>
    <xf numFmtId="0" fontId="10" fillId="7" borderId="39" xfId="4" applyFont="1" applyFill="1" applyBorder="1" applyAlignment="1">
      <alignment horizontal="center" vertical="center" wrapText="1"/>
    </xf>
    <xf numFmtId="0" fontId="10" fillId="7" borderId="41" xfId="4" applyFont="1" applyFill="1" applyBorder="1" applyAlignment="1">
      <alignment horizontal="center" vertical="center" wrapText="1"/>
    </xf>
    <xf numFmtId="0" fontId="10" fillId="7" borderId="29" xfId="4" applyFont="1" applyFill="1" applyBorder="1" applyAlignment="1">
      <alignment horizontal="center" vertical="center" wrapText="1"/>
    </xf>
    <xf numFmtId="0" fontId="8" fillId="0" borderId="44" xfId="4" applyFont="1" applyBorder="1" applyAlignment="1">
      <alignment horizontal="left" vertical="center"/>
    </xf>
    <xf numFmtId="0" fontId="10" fillId="7" borderId="45" xfId="4" applyFont="1" applyFill="1" applyBorder="1" applyAlignment="1">
      <alignment horizontal="center" vertical="center" wrapText="1"/>
    </xf>
    <xf numFmtId="0" fontId="10" fillId="7" borderId="46" xfId="4" applyFont="1" applyFill="1" applyBorder="1" applyAlignment="1">
      <alignment horizontal="center" vertical="center" wrapText="1"/>
    </xf>
    <xf numFmtId="0" fontId="11" fillId="0" borderId="22" xfId="4" applyFont="1" applyBorder="1" applyAlignment="1">
      <alignment vertical="center"/>
    </xf>
    <xf numFmtId="0" fontId="11" fillId="0" borderId="21" xfId="4" applyFont="1" applyBorder="1" applyAlignment="1">
      <alignment vertical="center"/>
    </xf>
    <xf numFmtId="0" fontId="8" fillId="0" borderId="47" xfId="4" applyFont="1" applyBorder="1" applyAlignment="1">
      <alignment horizontal="left" vertical="center"/>
    </xf>
    <xf numFmtId="49" fontId="10" fillId="7" borderId="48" xfId="4" applyNumberFormat="1" applyFont="1" applyFill="1" applyBorder="1" applyAlignment="1">
      <alignment horizontal="center" vertical="center" wrapText="1"/>
    </xf>
    <xf numFmtId="0" fontId="8" fillId="0" borderId="49" xfId="4" applyFont="1" applyBorder="1" applyAlignment="1">
      <alignment vertical="center"/>
    </xf>
    <xf numFmtId="0" fontId="8" fillId="0" borderId="50" xfId="4" applyFont="1" applyBorder="1" applyAlignment="1">
      <alignment horizontal="left" vertical="center"/>
    </xf>
    <xf numFmtId="0" fontId="8" fillId="0" borderId="51" xfId="4" applyFont="1" applyBorder="1" applyAlignment="1">
      <alignment horizontal="left" vertical="center"/>
    </xf>
    <xf numFmtId="49" fontId="10" fillId="7" borderId="45" xfId="4" applyNumberFormat="1" applyFont="1" applyFill="1" applyBorder="1" applyAlignment="1">
      <alignment horizontal="center" vertical="center" wrapText="1"/>
    </xf>
    <xf numFmtId="0" fontId="8" fillId="0" borderId="15" xfId="4" applyFont="1" applyBorder="1" applyAlignment="1">
      <alignment vertical="center"/>
    </xf>
    <xf numFmtId="0" fontId="8" fillId="0" borderId="15" xfId="4" applyFont="1" applyBorder="1" applyAlignment="1">
      <alignment horizontal="left" vertical="center"/>
    </xf>
    <xf numFmtId="0" fontId="8" fillId="0" borderId="13" xfId="4" applyFont="1" applyBorder="1" applyAlignment="1">
      <alignment vertical="center"/>
    </xf>
    <xf numFmtId="0" fontId="8" fillId="0" borderId="12" xfId="4" applyFont="1" applyBorder="1" applyAlignment="1">
      <alignment vertical="center"/>
    </xf>
    <xf numFmtId="0" fontId="8" fillId="0" borderId="12" xfId="4" applyFont="1" applyBorder="1" applyAlignment="1">
      <alignment horizontal="left" vertical="center"/>
    </xf>
    <xf numFmtId="0" fontId="10" fillId="7" borderId="53" xfId="4" applyFont="1" applyFill="1" applyBorder="1" applyAlignment="1">
      <alignment horizontal="center" vertical="center"/>
    </xf>
    <xf numFmtId="0" fontId="10" fillId="7" borderId="37" xfId="4" applyFont="1" applyFill="1" applyBorder="1" applyAlignment="1">
      <alignment horizontal="center" vertical="center"/>
    </xf>
    <xf numFmtId="0" fontId="8" fillId="7" borderId="23" xfId="4" applyFont="1" applyFill="1" applyBorder="1" applyAlignment="1">
      <alignment vertical="center"/>
    </xf>
    <xf numFmtId="0" fontId="8" fillId="7" borderId="22" xfId="4" applyFont="1" applyFill="1" applyBorder="1" applyAlignment="1">
      <alignment vertical="center"/>
    </xf>
    <xf numFmtId="0" fontId="11" fillId="7" borderId="21" xfId="4" applyFont="1" applyFill="1" applyBorder="1" applyAlignment="1">
      <alignment vertical="center"/>
    </xf>
    <xf numFmtId="0" fontId="10" fillId="0" borderId="48" xfId="4" applyFont="1" applyBorder="1" applyAlignment="1">
      <alignment horizontal="center" vertical="center"/>
    </xf>
    <xf numFmtId="0" fontId="10" fillId="7" borderId="48" xfId="4" applyFont="1" applyFill="1" applyBorder="1" applyAlignment="1">
      <alignment horizontal="center" vertical="center"/>
    </xf>
    <xf numFmtId="0" fontId="10" fillId="0" borderId="54" xfId="4" applyFont="1" applyBorder="1" applyAlignment="1">
      <alignment horizontal="center" vertical="center"/>
    </xf>
    <xf numFmtId="0" fontId="10" fillId="7" borderId="54" xfId="4" applyFont="1" applyFill="1" applyBorder="1" applyAlignment="1">
      <alignment horizontal="center" vertical="center"/>
    </xf>
    <xf numFmtId="0" fontId="8" fillId="0" borderId="13" xfId="4" applyFont="1" applyBorder="1" applyAlignment="1">
      <alignment horizontal="right" vertical="center"/>
    </xf>
    <xf numFmtId="0" fontId="8" fillId="0" borderId="23" xfId="4" applyFont="1" applyBorder="1" applyAlignment="1">
      <alignment vertical="center"/>
    </xf>
    <xf numFmtId="0" fontId="8" fillId="0" borderId="22" xfId="4" applyFont="1" applyBorder="1" applyAlignment="1">
      <alignment vertical="center"/>
    </xf>
    <xf numFmtId="0" fontId="13" fillId="7" borderId="53" xfId="4" applyFont="1" applyFill="1" applyBorder="1" applyAlignment="1">
      <alignment horizontal="center" vertical="center"/>
    </xf>
    <xf numFmtId="49" fontId="13" fillId="7" borderId="53" xfId="4" applyNumberFormat="1" applyFont="1" applyFill="1" applyBorder="1" applyAlignment="1">
      <alignment horizontal="center" vertical="center" wrapText="1"/>
    </xf>
    <xf numFmtId="0" fontId="8" fillId="0" borderId="21" xfId="4" applyFont="1" applyBorder="1" applyAlignment="1">
      <alignment horizontal="left" vertical="center"/>
    </xf>
    <xf numFmtId="164" fontId="9" fillId="0" borderId="23" xfId="5" applyNumberFormat="1" applyFont="1" applyBorder="1" applyAlignment="1">
      <alignment vertical="center"/>
    </xf>
    <xf numFmtId="164" fontId="9" fillId="0" borderId="22" xfId="5" applyNumberFormat="1" applyFont="1" applyBorder="1" applyAlignment="1">
      <alignment vertical="center"/>
    </xf>
    <xf numFmtId="0" fontId="13" fillId="0" borderId="22" xfId="4" applyFont="1" applyBorder="1" applyAlignment="1">
      <alignment vertical="center"/>
    </xf>
    <xf numFmtId="49" fontId="11" fillId="0" borderId="21" xfId="4" applyNumberFormat="1" applyFont="1" applyBorder="1" applyAlignment="1">
      <alignment horizontal="left" vertical="center"/>
    </xf>
    <xf numFmtId="0" fontId="8" fillId="0" borderId="21" xfId="4" applyFont="1" applyBorder="1" applyAlignment="1">
      <alignment vertical="center"/>
    </xf>
    <xf numFmtId="0" fontId="10" fillId="8" borderId="21" xfId="4" applyFont="1" applyFill="1" applyBorder="1" applyAlignment="1">
      <alignment horizontal="center" vertical="center"/>
    </xf>
    <xf numFmtId="0" fontId="8" fillId="0" borderId="21" xfId="4" applyFont="1" applyBorder="1" applyAlignment="1">
      <alignment horizontal="center" vertical="center"/>
    </xf>
    <xf numFmtId="0" fontId="13" fillId="8" borderId="21" xfId="4" applyFont="1" applyFill="1" applyBorder="1" applyAlignment="1">
      <alignment horizontal="center" vertical="center"/>
    </xf>
    <xf numFmtId="49" fontId="8" fillId="0" borderId="21" xfId="4" applyNumberFormat="1" applyFont="1" applyBorder="1" applyAlignment="1">
      <alignment horizontal="left" vertical="center"/>
    </xf>
    <xf numFmtId="0" fontId="11" fillId="0" borderId="22" xfId="4" applyFont="1" applyBorder="1" applyAlignment="1">
      <alignment horizontal="right" vertical="center"/>
    </xf>
    <xf numFmtId="49" fontId="11" fillId="0" borderId="37" xfId="4" applyNumberFormat="1" applyFont="1" applyBorder="1" applyAlignment="1">
      <alignment horizontal="left" vertical="center"/>
    </xf>
    <xf numFmtId="49" fontId="10" fillId="7" borderId="54" xfId="4" applyNumberFormat="1" applyFont="1" applyFill="1" applyBorder="1" applyAlignment="1">
      <alignment horizontal="center" vertical="center" wrapText="1"/>
    </xf>
    <xf numFmtId="0" fontId="8" fillId="0" borderId="16" xfId="4" applyFont="1" applyBorder="1" applyAlignment="1">
      <alignment horizontal="center" vertical="center"/>
    </xf>
    <xf numFmtId="0" fontId="10" fillId="0" borderId="45" xfId="4" applyFont="1" applyBorder="1" applyAlignment="1">
      <alignment horizontal="center" vertical="center"/>
    </xf>
    <xf numFmtId="0" fontId="11" fillId="0" borderId="0" xfId="4" applyFont="1" applyAlignment="1">
      <alignment vertical="center"/>
    </xf>
    <xf numFmtId="0" fontId="11" fillId="0" borderId="16" xfId="4" applyFont="1" applyBorder="1" applyAlignment="1">
      <alignment vertical="center"/>
    </xf>
    <xf numFmtId="0" fontId="11" fillId="0" borderId="16" xfId="4" applyFont="1" applyBorder="1" applyAlignment="1">
      <alignment horizontal="center" vertical="center"/>
    </xf>
    <xf numFmtId="0" fontId="11" fillId="0" borderId="23" xfId="4" applyFont="1" applyBorder="1" applyAlignment="1">
      <alignment vertical="center"/>
    </xf>
    <xf numFmtId="0" fontId="10" fillId="0" borderId="53" xfId="4" applyFont="1" applyBorder="1" applyAlignment="1">
      <alignment horizontal="center" vertical="center"/>
    </xf>
    <xf numFmtId="49" fontId="10" fillId="7" borderId="53" xfId="4" applyNumberFormat="1" applyFont="1" applyFill="1" applyBorder="1" applyAlignment="1">
      <alignment horizontal="center" vertical="center" wrapText="1"/>
    </xf>
    <xf numFmtId="0" fontId="8" fillId="0" borderId="55" xfId="4" applyFont="1" applyBorder="1" applyAlignment="1">
      <alignment vertical="center"/>
    </xf>
    <xf numFmtId="49" fontId="8" fillId="0" borderId="37" xfId="4" applyNumberFormat="1" applyFont="1" applyBorder="1" applyAlignment="1">
      <alignment horizontal="left" vertical="center"/>
    </xf>
    <xf numFmtId="2" fontId="8" fillId="0" borderId="0" xfId="4" quotePrefix="1" applyNumberFormat="1" applyFont="1" applyAlignment="1">
      <alignment vertical="center"/>
    </xf>
    <xf numFmtId="0" fontId="13" fillId="7" borderId="48" xfId="4" applyFont="1" applyFill="1" applyBorder="1" applyAlignment="1">
      <alignment horizontal="center" vertical="center"/>
    </xf>
    <xf numFmtId="49" fontId="13" fillId="7" borderId="48" xfId="4" applyNumberFormat="1" applyFont="1" applyFill="1" applyBorder="1" applyAlignment="1">
      <alignment horizontal="center" vertical="center" wrapText="1"/>
    </xf>
    <xf numFmtId="0" fontId="11" fillId="0" borderId="0" xfId="4" applyFont="1" applyAlignment="1">
      <alignment horizontal="right" vertical="center"/>
    </xf>
    <xf numFmtId="0" fontId="11" fillId="0" borderId="49" xfId="4" applyFont="1" applyBorder="1" applyAlignment="1">
      <alignment vertical="center"/>
    </xf>
    <xf numFmtId="49" fontId="11" fillId="0" borderId="56" xfId="4" applyNumberFormat="1" applyFont="1" applyBorder="1" applyAlignment="1">
      <alignment horizontal="left" vertical="center"/>
    </xf>
    <xf numFmtId="0" fontId="11" fillId="0" borderId="0" xfId="4" quotePrefix="1" applyFont="1" applyAlignment="1">
      <alignment vertical="center"/>
    </xf>
    <xf numFmtId="2" fontId="8" fillId="0" borderId="57" xfId="4" applyNumberFormat="1" applyFont="1" applyBorder="1" applyAlignment="1">
      <alignment horizontal="left" vertical="center" wrapText="1"/>
    </xf>
    <xf numFmtId="2" fontId="8" fillId="0" borderId="16" xfId="4" applyNumberFormat="1" applyFont="1" applyBorder="1" applyAlignment="1">
      <alignment horizontal="left" vertical="center" wrapText="1"/>
    </xf>
    <xf numFmtId="49" fontId="8" fillId="0" borderId="51" xfId="4" applyNumberFormat="1" applyFont="1" applyBorder="1" applyAlignment="1">
      <alignment horizontal="left" vertical="center"/>
    </xf>
    <xf numFmtId="2" fontId="11" fillId="0" borderId="57" xfId="4" applyNumberFormat="1" applyFont="1" applyBorder="1" applyAlignment="1">
      <alignment horizontal="left" vertical="center" wrapText="1"/>
    </xf>
    <xf numFmtId="2" fontId="11" fillId="0" borderId="16" xfId="4" applyNumberFormat="1" applyFont="1" applyBorder="1" applyAlignment="1">
      <alignment horizontal="left" vertical="center" wrapText="1"/>
    </xf>
    <xf numFmtId="0" fontId="8" fillId="0" borderId="0" xfId="4" quotePrefix="1" applyFont="1" applyAlignment="1">
      <alignment vertical="center"/>
    </xf>
    <xf numFmtId="0" fontId="13" fillId="7" borderId="54" xfId="4" applyFont="1" applyFill="1" applyBorder="1" applyAlignment="1">
      <alignment horizontal="center" vertical="center"/>
    </xf>
    <xf numFmtId="2" fontId="8" fillId="0" borderId="49" xfId="4" applyNumberFormat="1" applyFont="1" applyBorder="1" applyAlignment="1">
      <alignment horizontal="left" vertical="center" wrapText="1"/>
    </xf>
    <xf numFmtId="49" fontId="8" fillId="0" borderId="57" xfId="4" applyNumberFormat="1" applyFont="1" applyBorder="1" applyAlignment="1">
      <alignment horizontal="left" vertical="center"/>
    </xf>
    <xf numFmtId="49" fontId="8" fillId="0" borderId="54" xfId="4" applyNumberFormat="1" applyFont="1" applyBorder="1" applyAlignment="1">
      <alignment horizontal="left" vertical="center"/>
    </xf>
    <xf numFmtId="164" fontId="11" fillId="0" borderId="0" xfId="4" quotePrefix="1" applyNumberFormat="1" applyFont="1" applyAlignment="1">
      <alignment vertical="center"/>
    </xf>
    <xf numFmtId="0" fontId="11" fillId="0" borderId="13" xfId="4" applyFont="1" applyBorder="1" applyAlignment="1">
      <alignment vertical="center"/>
    </xf>
    <xf numFmtId="2" fontId="11" fillId="0" borderId="13" xfId="4" applyNumberFormat="1" applyFont="1" applyBorder="1" applyAlignment="1">
      <alignment horizontal="left" vertical="center" wrapText="1"/>
    </xf>
    <xf numFmtId="49" fontId="11" fillId="0" borderId="13" xfId="4" applyNumberFormat="1" applyFont="1" applyBorder="1" applyAlignment="1">
      <alignment horizontal="left" vertical="center"/>
    </xf>
    <xf numFmtId="49" fontId="8" fillId="0" borderId="13" xfId="4" applyNumberFormat="1" applyFont="1" applyBorder="1" applyAlignment="1">
      <alignment horizontal="left" vertical="center"/>
    </xf>
    <xf numFmtId="2" fontId="8" fillId="0" borderId="13" xfId="4" applyNumberFormat="1" applyFont="1" applyBorder="1" applyAlignment="1">
      <alignment horizontal="left" vertical="center" wrapText="1"/>
    </xf>
    <xf numFmtId="49" fontId="8" fillId="0" borderId="16" xfId="4" applyNumberFormat="1" applyFont="1" applyBorder="1" applyAlignment="1">
      <alignment horizontal="left" vertical="center"/>
    </xf>
    <xf numFmtId="164" fontId="11" fillId="0" borderId="0" xfId="4" applyNumberFormat="1" applyFont="1" applyAlignment="1">
      <alignment vertical="center"/>
    </xf>
    <xf numFmtId="164" fontId="11" fillId="0" borderId="16" xfId="4" applyNumberFormat="1" applyFont="1" applyBorder="1" applyAlignment="1">
      <alignment vertical="center"/>
    </xf>
    <xf numFmtId="49" fontId="8" fillId="0" borderId="56" xfId="4" applyNumberFormat="1" applyFont="1" applyBorder="1" applyAlignment="1">
      <alignment horizontal="left" vertical="center"/>
    </xf>
    <xf numFmtId="164" fontId="8" fillId="0" borderId="16" xfId="4" applyNumberFormat="1" applyFont="1" applyBorder="1" applyAlignment="1">
      <alignment vertical="center"/>
    </xf>
    <xf numFmtId="0" fontId="10" fillId="7" borderId="45" xfId="4" applyFont="1" applyFill="1" applyBorder="1" applyAlignment="1">
      <alignment horizontal="center" vertical="center"/>
    </xf>
    <xf numFmtId="164" fontId="8" fillId="0" borderId="13" xfId="4" applyNumberFormat="1" applyFont="1" applyBorder="1" applyAlignment="1">
      <alignment vertical="center"/>
    </xf>
    <xf numFmtId="49" fontId="8" fillId="0" borderId="61" xfId="4" applyNumberFormat="1" applyFont="1" applyBorder="1" applyAlignment="1">
      <alignment horizontal="left" vertical="center"/>
    </xf>
    <xf numFmtId="0" fontId="11" fillId="7" borderId="37" xfId="4" applyFont="1" applyFill="1" applyBorder="1" applyAlignment="1">
      <alignment horizontal="left" vertical="center"/>
    </xf>
    <xf numFmtId="49" fontId="11" fillId="7" borderId="53" xfId="4" applyNumberFormat="1" applyFont="1" applyFill="1" applyBorder="1" applyAlignment="1">
      <alignment horizontal="center" vertical="center" wrapText="1"/>
    </xf>
    <xf numFmtId="49" fontId="8" fillId="7" borderId="62" xfId="4" applyNumberFormat="1" applyFont="1" applyFill="1" applyBorder="1" applyAlignment="1">
      <alignment horizontal="center" vertical="center" wrapText="1"/>
    </xf>
    <xf numFmtId="0" fontId="8" fillId="0" borderId="10" xfId="4" applyFont="1" applyBorder="1" applyAlignment="1">
      <alignment horizontal="right" vertical="center"/>
    </xf>
    <xf numFmtId="0" fontId="8" fillId="0" borderId="10" xfId="4" applyFont="1" applyBorder="1" applyAlignment="1">
      <alignment vertical="center"/>
    </xf>
    <xf numFmtId="0" fontId="8" fillId="0" borderId="9" xfId="4" applyFont="1" applyBorder="1" applyAlignment="1">
      <alignment vertical="center"/>
    </xf>
    <xf numFmtId="49" fontId="8" fillId="0" borderId="63" xfId="4" applyNumberFormat="1" applyFont="1" applyBorder="1" applyAlignment="1">
      <alignment horizontal="left" vertical="center"/>
    </xf>
    <xf numFmtId="49" fontId="10" fillId="7" borderId="39" xfId="4" applyNumberFormat="1" applyFont="1" applyFill="1" applyBorder="1" applyAlignment="1">
      <alignment horizontal="center" vertical="center" wrapText="1"/>
    </xf>
    <xf numFmtId="0" fontId="10" fillId="0" borderId="39" xfId="4" applyFont="1" applyBorder="1" applyAlignment="1">
      <alignment horizontal="center" vertical="center"/>
    </xf>
    <xf numFmtId="0" fontId="8" fillId="0" borderId="4" xfId="4" applyFont="1" applyBorder="1" applyAlignment="1">
      <alignment vertical="center"/>
    </xf>
    <xf numFmtId="0" fontId="8" fillId="0" borderId="3" xfId="4" applyFont="1" applyBorder="1" applyAlignment="1">
      <alignment vertical="center"/>
    </xf>
    <xf numFmtId="49" fontId="8" fillId="0" borderId="64" xfId="4" applyNumberFormat="1" applyFont="1" applyBorder="1" applyAlignment="1">
      <alignment horizontal="left" vertical="center"/>
    </xf>
    <xf numFmtId="49" fontId="10" fillId="7" borderId="59" xfId="4" applyNumberFormat="1" applyFont="1" applyFill="1" applyBorder="1" applyAlignment="1">
      <alignment vertical="center" wrapText="1"/>
    </xf>
    <xf numFmtId="49" fontId="10" fillId="7" borderId="0" xfId="4" applyNumberFormat="1" applyFont="1" applyFill="1" applyAlignment="1">
      <alignment vertical="center" wrapText="1"/>
    </xf>
    <xf numFmtId="49" fontId="10" fillId="7" borderId="28" xfId="4" applyNumberFormat="1" applyFont="1" applyFill="1" applyBorder="1" applyAlignment="1">
      <alignment vertical="center" wrapText="1"/>
    </xf>
    <xf numFmtId="49" fontId="8" fillId="0" borderId="46" xfId="4" applyNumberFormat="1" applyFont="1" applyBorder="1" applyAlignment="1">
      <alignment horizontal="left" vertical="center"/>
    </xf>
    <xf numFmtId="0" fontId="8" fillId="0" borderId="57" xfId="4" applyFont="1" applyBorder="1" applyAlignment="1">
      <alignment vertical="center"/>
    </xf>
    <xf numFmtId="49" fontId="8" fillId="0" borderId="65" xfId="4" applyNumberFormat="1" applyFont="1" applyBorder="1" applyAlignment="1">
      <alignment horizontal="left" vertical="center"/>
    </xf>
    <xf numFmtId="164" fontId="13" fillId="7" borderId="52" xfId="4" applyNumberFormat="1" applyFont="1" applyFill="1" applyBorder="1" applyAlignment="1">
      <alignment horizontal="center" vertical="center"/>
    </xf>
    <xf numFmtId="0" fontId="11" fillId="0" borderId="55" xfId="4" applyFont="1" applyBorder="1" applyAlignment="1">
      <alignment vertical="center"/>
    </xf>
    <xf numFmtId="0" fontId="11" fillId="0" borderId="57" xfId="4" applyFont="1" applyBorder="1" applyAlignment="1">
      <alignment vertical="center"/>
    </xf>
    <xf numFmtId="164" fontId="10" fillId="0" borderId="44" xfId="5" applyNumberFormat="1" applyFont="1" applyBorder="1" applyAlignment="1">
      <alignment horizontal="center" vertical="center"/>
    </xf>
    <xf numFmtId="43" fontId="8" fillId="0" borderId="0" xfId="4" applyNumberFormat="1" applyFont="1" applyAlignment="1">
      <alignment vertical="center"/>
    </xf>
    <xf numFmtId="0" fontId="11" fillId="7" borderId="22" xfId="4" applyFont="1" applyFill="1" applyBorder="1" applyAlignment="1">
      <alignment vertical="center"/>
    </xf>
    <xf numFmtId="0" fontId="8" fillId="0" borderId="5" xfId="4" applyFont="1" applyBorder="1" applyAlignment="1">
      <alignment vertical="center"/>
    </xf>
    <xf numFmtId="0" fontId="10" fillId="0" borderId="0" xfId="4" applyFont="1" applyAlignment="1">
      <alignment vertical="center"/>
    </xf>
    <xf numFmtId="49" fontId="10" fillId="7" borderId="46" xfId="4" applyNumberFormat="1" applyFont="1" applyFill="1" applyBorder="1" applyAlignment="1">
      <alignment horizontal="center" vertical="center" wrapText="1"/>
    </xf>
    <xf numFmtId="0" fontId="11" fillId="7" borderId="23" xfId="4" applyFont="1" applyFill="1" applyBorder="1" applyAlignment="1">
      <alignment vertical="center"/>
    </xf>
    <xf numFmtId="0" fontId="8" fillId="0" borderId="58" xfId="4" applyFont="1" applyBorder="1" applyAlignment="1">
      <alignment vertical="center"/>
    </xf>
    <xf numFmtId="49" fontId="13" fillId="7" borderId="37" xfId="4" applyNumberFormat="1" applyFont="1" applyFill="1" applyBorder="1" applyAlignment="1">
      <alignment horizontal="center" vertical="center" wrapText="1"/>
    </xf>
    <xf numFmtId="43" fontId="11" fillId="0" borderId="0" xfId="4" quotePrefix="1" applyNumberFormat="1" applyFont="1" applyAlignment="1">
      <alignment vertical="center"/>
    </xf>
    <xf numFmtId="43" fontId="11" fillId="0" borderId="0" xfId="4" applyNumberFormat="1" applyFont="1" applyAlignment="1">
      <alignment vertical="center"/>
    </xf>
    <xf numFmtId="0" fontId="10" fillId="0" borderId="26" xfId="4" applyFont="1" applyBorder="1" applyAlignment="1">
      <alignment horizontal="center" vertical="center"/>
    </xf>
    <xf numFmtId="49" fontId="10" fillId="7" borderId="26" xfId="4" applyNumberFormat="1" applyFont="1" applyFill="1" applyBorder="1" applyAlignment="1">
      <alignment horizontal="center" vertical="center" wrapText="1"/>
    </xf>
    <xf numFmtId="0" fontId="10" fillId="0" borderId="62" xfId="4" applyFont="1" applyBorder="1" applyAlignment="1">
      <alignment horizontal="center" vertical="center"/>
    </xf>
    <xf numFmtId="49" fontId="10" fillId="7" borderId="62" xfId="4" applyNumberFormat="1" applyFont="1" applyFill="1" applyBorder="1" applyAlignment="1">
      <alignment horizontal="center" vertical="center" wrapText="1"/>
    </xf>
    <xf numFmtId="0" fontId="8" fillId="0" borderId="9" xfId="4" applyFont="1" applyBorder="1" applyAlignment="1">
      <alignment horizontal="left" vertical="center"/>
    </xf>
    <xf numFmtId="0" fontId="11" fillId="7" borderId="20" xfId="4" applyFont="1" applyFill="1" applyBorder="1" applyAlignment="1">
      <alignment vertical="center"/>
    </xf>
    <xf numFmtId="0" fontId="11" fillId="7" borderId="19" xfId="4" applyFont="1" applyFill="1" applyBorder="1" applyAlignment="1">
      <alignment vertical="center"/>
    </xf>
    <xf numFmtId="0" fontId="11" fillId="7" borderId="18" xfId="4" applyFont="1" applyFill="1" applyBorder="1" applyAlignment="1">
      <alignment vertical="center"/>
    </xf>
    <xf numFmtId="0" fontId="11" fillId="7" borderId="68" xfId="4" applyFont="1" applyFill="1" applyBorder="1" applyAlignment="1">
      <alignment horizontal="left" vertical="center"/>
    </xf>
    <xf numFmtId="0" fontId="8" fillId="9" borderId="0" xfId="4" applyFont="1" applyFill="1" applyAlignment="1">
      <alignment vertical="center"/>
    </xf>
    <xf numFmtId="0" fontId="11" fillId="9" borderId="1" xfId="4" applyFont="1" applyFill="1" applyBorder="1" applyAlignment="1">
      <alignment vertical="center"/>
    </xf>
    <xf numFmtId="0" fontId="8" fillId="9" borderId="44" xfId="4" applyFont="1" applyFill="1" applyBorder="1" applyAlignment="1">
      <alignment horizontal="left" vertical="center"/>
    </xf>
    <xf numFmtId="0" fontId="8" fillId="9" borderId="66" xfId="4" applyFont="1" applyFill="1" applyBorder="1" applyAlignment="1">
      <alignment horizontal="left" vertical="center"/>
    </xf>
    <xf numFmtId="0" fontId="8" fillId="9" borderId="49" xfId="4" applyFont="1" applyFill="1" applyBorder="1" applyAlignment="1">
      <alignment horizontal="left" vertical="center"/>
    </xf>
    <xf numFmtId="0" fontId="8" fillId="9" borderId="47" xfId="4" applyFont="1" applyFill="1" applyBorder="1" applyAlignment="1">
      <alignment horizontal="left" vertical="center"/>
    </xf>
    <xf numFmtId="0" fontId="8" fillId="7" borderId="54" xfId="4" applyFont="1" applyFill="1" applyBorder="1" applyAlignment="1">
      <alignment horizontal="center" vertical="center" wrapText="1"/>
    </xf>
    <xf numFmtId="0" fontId="8" fillId="9" borderId="49" xfId="4" applyFont="1" applyFill="1" applyBorder="1" applyAlignment="1">
      <alignment horizontal="center" vertical="center"/>
    </xf>
    <xf numFmtId="0" fontId="8" fillId="9" borderId="47" xfId="4" applyFont="1" applyFill="1" applyBorder="1" applyAlignment="1">
      <alignment horizontal="center" vertical="center"/>
    </xf>
    <xf numFmtId="0" fontId="11" fillId="9" borderId="2" xfId="4" applyFont="1" applyFill="1" applyBorder="1" applyAlignment="1">
      <alignment horizontal="left" vertical="center"/>
    </xf>
    <xf numFmtId="0" fontId="8" fillId="9" borderId="0" xfId="4" applyFont="1" applyFill="1" applyAlignment="1">
      <alignment horizontal="center" vertical="center"/>
    </xf>
    <xf numFmtId="0" fontId="11" fillId="9" borderId="0" xfId="4" applyFont="1" applyFill="1" applyAlignment="1">
      <alignment horizontal="left" vertical="center"/>
    </xf>
    <xf numFmtId="0" fontId="11" fillId="9" borderId="1" xfId="4" applyFont="1" applyFill="1" applyBorder="1" applyAlignment="1">
      <alignment horizontal="left" vertical="center"/>
    </xf>
    <xf numFmtId="0" fontId="14" fillId="0" borderId="0" xfId="4" applyFont="1" applyAlignment="1">
      <alignment vertical="center"/>
    </xf>
    <xf numFmtId="0" fontId="11" fillId="0" borderId="2" xfId="4" applyFont="1" applyBorder="1" applyAlignment="1">
      <alignment horizontal="center" vertical="center" wrapText="1"/>
    </xf>
    <xf numFmtId="0" fontId="17" fillId="0" borderId="0" xfId="4" applyFont="1" applyAlignment="1">
      <alignment horizontal="center" vertical="center"/>
    </xf>
    <xf numFmtId="0" fontId="19" fillId="0" borderId="0" xfId="4" applyFont="1" applyAlignment="1">
      <alignment horizontal="left" vertical="center"/>
    </xf>
    <xf numFmtId="0" fontId="17" fillId="0" borderId="0" xfId="4" applyFont="1" applyAlignment="1">
      <alignment horizontal="left" vertical="center" wrapText="1"/>
    </xf>
    <xf numFmtId="0" fontId="17" fillId="0" borderId="0" xfId="4" applyFont="1" applyAlignment="1">
      <alignment horizontal="left" vertical="center"/>
    </xf>
    <xf numFmtId="0" fontId="14" fillId="9" borderId="0" xfId="4" applyFont="1" applyFill="1" applyAlignment="1">
      <alignment horizontal="center" vertical="center"/>
    </xf>
    <xf numFmtId="0" fontId="11" fillId="0" borderId="1" xfId="4" applyFont="1" applyBorder="1" applyAlignment="1">
      <alignment horizontal="left" vertical="center"/>
    </xf>
    <xf numFmtId="0" fontId="6" fillId="0" borderId="0" xfId="4" applyFont="1" applyAlignment="1">
      <alignment vertical="center"/>
    </xf>
    <xf numFmtId="0" fontId="5" fillId="7" borderId="5" xfId="4" applyFont="1" applyFill="1" applyBorder="1" applyAlignment="1">
      <alignment horizontal="left" vertical="center" wrapText="1"/>
    </xf>
    <xf numFmtId="0" fontId="5" fillId="7" borderId="4" xfId="4" applyFont="1" applyFill="1" applyBorder="1" applyAlignment="1">
      <alignment horizontal="left" vertical="center" wrapText="1"/>
    </xf>
    <xf numFmtId="0" fontId="6" fillId="7" borderId="4" xfId="4" applyFont="1" applyFill="1" applyBorder="1" applyAlignment="1">
      <alignment horizontal="left" vertical="center" wrapText="1"/>
    </xf>
    <xf numFmtId="0" fontId="5" fillId="7" borderId="5" xfId="4" applyFont="1" applyFill="1" applyBorder="1" applyAlignment="1">
      <alignment horizontal="center" vertical="center"/>
    </xf>
    <xf numFmtId="0" fontId="5" fillId="7" borderId="4" xfId="4" applyFont="1" applyFill="1" applyBorder="1" applyAlignment="1">
      <alignment horizontal="center" vertical="center"/>
    </xf>
    <xf numFmtId="0" fontId="5" fillId="7" borderId="4" xfId="4" applyFont="1" applyFill="1" applyBorder="1" applyAlignment="1">
      <alignment horizontal="left" vertical="center"/>
    </xf>
    <xf numFmtId="0" fontId="5" fillId="7" borderId="3" xfId="4" applyFont="1" applyFill="1" applyBorder="1" applyAlignment="1">
      <alignment horizontal="left" vertical="center"/>
    </xf>
    <xf numFmtId="0" fontId="5" fillId="7" borderId="20" xfId="4" applyFont="1" applyFill="1" applyBorder="1" applyAlignment="1">
      <alignment horizontal="left" vertical="center" wrapText="1"/>
    </xf>
    <xf numFmtId="0" fontId="5" fillId="7" borderId="19" xfId="4" applyFont="1" applyFill="1" applyBorder="1" applyAlignment="1">
      <alignment horizontal="left" vertical="center" wrapText="1"/>
    </xf>
    <xf numFmtId="0" fontId="6" fillId="7" borderId="19" xfId="4" applyFont="1" applyFill="1" applyBorder="1" applyAlignment="1">
      <alignment horizontal="left" vertical="center" wrapText="1"/>
    </xf>
    <xf numFmtId="0" fontId="5" fillId="7" borderId="20" xfId="4" applyFont="1" applyFill="1" applyBorder="1" applyAlignment="1">
      <alignment horizontal="center" vertical="center"/>
    </xf>
    <xf numFmtId="0" fontId="5" fillId="7" borderId="19" xfId="4" applyFont="1" applyFill="1" applyBorder="1" applyAlignment="1">
      <alignment horizontal="center" vertical="center"/>
    </xf>
    <xf numFmtId="0" fontId="6" fillId="7" borderId="19" xfId="4" applyFont="1" applyFill="1" applyBorder="1" applyAlignment="1">
      <alignment vertical="center"/>
    </xf>
    <xf numFmtId="0" fontId="6" fillId="7" borderId="19" xfId="4" applyFont="1" applyFill="1" applyBorder="1" applyAlignment="1">
      <alignment horizontal="center" vertical="center"/>
    </xf>
    <xf numFmtId="0" fontId="13" fillId="7" borderId="19" xfId="4" applyFont="1" applyFill="1" applyBorder="1" applyAlignment="1">
      <alignment horizontal="left" vertical="center"/>
    </xf>
    <xf numFmtId="0" fontId="5" fillId="7" borderId="19" xfId="4" applyFont="1" applyFill="1" applyBorder="1" applyAlignment="1">
      <alignment horizontal="left" vertical="center"/>
    </xf>
    <xf numFmtId="0" fontId="5" fillId="7" borderId="18" xfId="4" applyFont="1" applyFill="1" applyBorder="1" applyAlignment="1">
      <alignment horizontal="left" vertical="center"/>
    </xf>
    <xf numFmtId="0" fontId="8" fillId="0" borderId="32" xfId="4" applyFont="1" applyBorder="1" applyAlignment="1">
      <alignment horizontal="left" vertical="center"/>
    </xf>
    <xf numFmtId="0" fontId="8" fillId="0" borderId="17" xfId="4" applyFont="1" applyBorder="1" applyAlignment="1">
      <alignment horizontal="center" vertical="center"/>
    </xf>
    <xf numFmtId="0" fontId="8" fillId="0" borderId="16" xfId="4" applyFont="1" applyBorder="1" applyAlignment="1">
      <alignment horizontal="left" vertical="center"/>
    </xf>
    <xf numFmtId="0" fontId="8" fillId="0" borderId="2" xfId="4" applyFont="1" applyBorder="1" applyAlignment="1">
      <alignment horizontal="center" vertical="center" wrapText="1"/>
    </xf>
    <xf numFmtId="0" fontId="8" fillId="0" borderId="0" xfId="4" applyFont="1" applyAlignment="1">
      <alignment horizontal="center" vertical="center" wrapText="1"/>
    </xf>
    <xf numFmtId="0" fontId="8" fillId="0" borderId="1" xfId="4" applyFont="1" applyBorder="1" applyAlignment="1">
      <alignment horizontal="center" vertical="center" wrapText="1"/>
    </xf>
    <xf numFmtId="0" fontId="8" fillId="0" borderId="19" xfId="4" applyFont="1" applyBorder="1" applyAlignment="1">
      <alignment vertical="center"/>
    </xf>
    <xf numFmtId="0" fontId="8" fillId="0" borderId="42" xfId="4" applyFont="1" applyBorder="1" applyAlignment="1">
      <alignment horizontal="left" vertical="center"/>
    </xf>
    <xf numFmtId="0" fontId="10" fillId="7" borderId="62" xfId="4" applyFont="1" applyFill="1" applyBorder="1" applyAlignment="1">
      <alignment horizontal="center" vertical="center" wrapText="1"/>
    </xf>
    <xf numFmtId="0" fontId="8" fillId="0" borderId="10" xfId="4" applyFont="1" applyBorder="1" applyAlignment="1">
      <alignment horizontal="left" vertical="center"/>
    </xf>
    <xf numFmtId="0" fontId="10" fillId="7" borderId="63" xfId="4" applyFont="1" applyFill="1" applyBorder="1" applyAlignment="1">
      <alignment horizontal="center" vertical="center" wrapText="1"/>
    </xf>
    <xf numFmtId="0" fontId="8" fillId="0" borderId="66" xfId="4" applyFont="1" applyBorder="1" applyAlignment="1">
      <alignment vertical="center"/>
    </xf>
    <xf numFmtId="0" fontId="8" fillId="0" borderId="14" xfId="4" applyFont="1" applyBorder="1" applyAlignment="1">
      <alignment vertical="center"/>
    </xf>
    <xf numFmtId="0" fontId="8" fillId="0" borderId="16" xfId="4" applyFont="1" applyBorder="1" applyAlignment="1">
      <alignment horizontal="right" vertical="center"/>
    </xf>
    <xf numFmtId="0" fontId="8" fillId="10" borderId="23" xfId="4" applyFont="1" applyFill="1" applyBorder="1" applyAlignment="1">
      <alignment vertical="center"/>
    </xf>
    <xf numFmtId="0" fontId="8" fillId="10" borderId="22" xfId="4" applyFont="1" applyFill="1" applyBorder="1" applyAlignment="1">
      <alignment vertical="center"/>
    </xf>
    <xf numFmtId="0" fontId="8" fillId="10" borderId="21" xfId="4" applyFont="1" applyFill="1" applyBorder="1" applyAlignment="1">
      <alignment vertical="center"/>
    </xf>
    <xf numFmtId="0" fontId="11" fillId="10" borderId="37" xfId="4" applyFont="1" applyFill="1" applyBorder="1" applyAlignment="1">
      <alignment horizontal="left" vertical="center"/>
    </xf>
    <xf numFmtId="0" fontId="8" fillId="0" borderId="53" xfId="4" applyFont="1" applyBorder="1" applyAlignment="1">
      <alignment horizontal="center" vertical="center"/>
    </xf>
    <xf numFmtId="0" fontId="13" fillId="0" borderId="22" xfId="4" applyFont="1" applyBorder="1" applyAlignment="1">
      <alignment horizontal="center" vertical="center"/>
    </xf>
    <xf numFmtId="0" fontId="11" fillId="0" borderId="22" xfId="4" applyFont="1" applyBorder="1" applyAlignment="1">
      <alignment horizontal="center" vertical="center"/>
    </xf>
    <xf numFmtId="0" fontId="13" fillId="11" borderId="21" xfId="4" applyFont="1" applyFill="1" applyBorder="1" applyAlignment="1">
      <alignment horizontal="center" vertical="center"/>
    </xf>
    <xf numFmtId="0" fontId="13" fillId="7" borderId="24" xfId="4" applyFont="1" applyFill="1" applyBorder="1" applyAlignment="1">
      <alignment horizontal="center" vertical="center"/>
    </xf>
    <xf numFmtId="0" fontId="11" fillId="7" borderId="22" xfId="4" applyFont="1" applyFill="1" applyBorder="1" applyAlignment="1">
      <alignment horizontal="right" vertical="center"/>
    </xf>
    <xf numFmtId="49" fontId="11" fillId="7" borderId="37" xfId="4" applyNumberFormat="1" applyFont="1" applyFill="1" applyBorder="1" applyAlignment="1">
      <alignment horizontal="left" vertical="center"/>
    </xf>
    <xf numFmtId="0" fontId="11" fillId="10" borderId="23" xfId="4" applyFont="1" applyFill="1" applyBorder="1" applyAlignment="1">
      <alignment horizontal="center" vertical="center"/>
    </xf>
    <xf numFmtId="9" fontId="8" fillId="0" borderId="32" xfId="4" applyNumberFormat="1" applyFont="1" applyBorder="1" applyAlignment="1">
      <alignment horizontal="center" vertical="center"/>
    </xf>
    <xf numFmtId="0" fontId="10" fillId="0" borderId="30" xfId="4" applyFont="1" applyBorder="1" applyAlignment="1">
      <alignment horizontal="center" vertical="center"/>
    </xf>
    <xf numFmtId="0" fontId="5" fillId="7" borderId="39" xfId="4" applyFont="1" applyFill="1" applyBorder="1" applyAlignment="1">
      <alignment horizontal="center" vertical="center"/>
    </xf>
    <xf numFmtId="0" fontId="11" fillId="0" borderId="40" xfId="4" applyFont="1" applyBorder="1" applyAlignment="1">
      <alignment horizontal="right" vertical="center"/>
    </xf>
    <xf numFmtId="9" fontId="8" fillId="0" borderId="16" xfId="4" applyNumberFormat="1" applyFont="1" applyBorder="1" applyAlignment="1">
      <alignment horizontal="center" vertical="center"/>
    </xf>
    <xf numFmtId="0" fontId="10" fillId="0" borderId="44" xfId="4" applyFont="1" applyBorder="1" applyAlignment="1">
      <alignment horizontal="center" vertical="center"/>
    </xf>
    <xf numFmtId="0" fontId="10" fillId="7" borderId="58" xfId="4" applyFont="1" applyFill="1" applyBorder="1" applyAlignment="1">
      <alignment horizontal="center" vertical="center"/>
    </xf>
    <xf numFmtId="0" fontId="10" fillId="0" borderId="58" xfId="4" applyFont="1" applyBorder="1" applyAlignment="1">
      <alignment horizontal="center" vertical="center"/>
    </xf>
    <xf numFmtId="0" fontId="5" fillId="7" borderId="54" xfId="4" applyFont="1" applyFill="1" applyBorder="1" applyAlignment="1">
      <alignment horizontal="center" vertical="center"/>
    </xf>
    <xf numFmtId="0" fontId="11" fillId="0" borderId="60" xfId="4" applyFont="1" applyBorder="1" applyAlignment="1">
      <alignment horizontal="right" vertical="center"/>
    </xf>
    <xf numFmtId="9" fontId="8" fillId="0" borderId="13" xfId="4" applyNumberFormat="1" applyFont="1" applyBorder="1" applyAlignment="1">
      <alignment horizontal="center" vertical="center"/>
    </xf>
    <xf numFmtId="0" fontId="8" fillId="0" borderId="59" xfId="4" applyFont="1" applyBorder="1" applyAlignment="1">
      <alignment vertical="center"/>
    </xf>
    <xf numFmtId="0" fontId="8" fillId="0" borderId="11" xfId="4" applyFont="1" applyBorder="1" applyAlignment="1">
      <alignment vertical="center"/>
    </xf>
    <xf numFmtId="0" fontId="10" fillId="0" borderId="43" xfId="4" applyFont="1" applyBorder="1" applyAlignment="1">
      <alignment horizontal="center" vertical="center"/>
    </xf>
    <xf numFmtId="0" fontId="10" fillId="7" borderId="62" xfId="4" applyFont="1" applyFill="1" applyBorder="1" applyAlignment="1">
      <alignment horizontal="center" vertical="center"/>
    </xf>
    <xf numFmtId="9" fontId="8" fillId="0" borderId="10" xfId="4" applyNumberFormat="1" applyFont="1" applyBorder="1" applyAlignment="1">
      <alignment horizontal="center" vertical="center"/>
    </xf>
    <xf numFmtId="0" fontId="10" fillId="0" borderId="42" xfId="4" applyFont="1" applyBorder="1" applyAlignment="1">
      <alignment horizontal="center" vertical="center"/>
    </xf>
    <xf numFmtId="0" fontId="10" fillId="7" borderId="43" xfId="4" applyFont="1" applyFill="1" applyBorder="1" applyAlignment="1">
      <alignment horizontal="center" vertical="center"/>
    </xf>
    <xf numFmtId="0" fontId="8" fillId="0" borderId="43" xfId="4" applyFont="1" applyBorder="1" applyAlignment="1">
      <alignment vertical="center"/>
    </xf>
    <xf numFmtId="0" fontId="10" fillId="0" borderId="57" xfId="4" applyFont="1" applyBorder="1" applyAlignment="1">
      <alignment horizontal="center" vertical="center"/>
    </xf>
    <xf numFmtId="0" fontId="10" fillId="0" borderId="51" xfId="4" applyFont="1" applyBorder="1" applyAlignment="1">
      <alignment horizontal="center" vertical="center"/>
    </xf>
    <xf numFmtId="0" fontId="10" fillId="7" borderId="57" xfId="4" applyFont="1" applyFill="1" applyBorder="1" applyAlignment="1">
      <alignment horizontal="center" vertical="center"/>
    </xf>
    <xf numFmtId="0" fontId="8" fillId="0" borderId="60" xfId="4" applyFont="1" applyBorder="1" applyAlignment="1">
      <alignment vertical="center"/>
    </xf>
    <xf numFmtId="0" fontId="8" fillId="0" borderId="70" xfId="4" applyFont="1" applyBorder="1" applyAlignment="1">
      <alignment vertical="center"/>
    </xf>
    <xf numFmtId="0" fontId="13" fillId="7" borderId="24" xfId="4" quotePrefix="1" applyFont="1" applyFill="1" applyBorder="1" applyAlignment="1">
      <alignment horizontal="center" vertical="center"/>
    </xf>
    <xf numFmtId="0" fontId="11" fillId="0" borderId="57" xfId="4" applyFont="1" applyBorder="1" applyAlignment="1">
      <alignment horizontal="right" vertical="center"/>
    </xf>
    <xf numFmtId="0" fontId="7" fillId="7" borderId="54" xfId="4" applyFont="1" applyFill="1" applyBorder="1" applyAlignment="1">
      <alignment horizontal="center" vertical="center"/>
    </xf>
    <xf numFmtId="0" fontId="11" fillId="0" borderId="15" xfId="4" applyFont="1" applyBorder="1" applyAlignment="1">
      <alignment vertical="center"/>
    </xf>
    <xf numFmtId="0" fontId="8" fillId="0" borderId="50" xfId="4" applyFont="1" applyBorder="1" applyAlignment="1">
      <alignment vertical="center"/>
    </xf>
    <xf numFmtId="0" fontId="11" fillId="0" borderId="50" xfId="4" applyFont="1" applyBorder="1" applyAlignment="1">
      <alignment vertical="center"/>
    </xf>
    <xf numFmtId="0" fontId="8" fillId="9" borderId="14" xfId="4" applyFont="1" applyFill="1" applyBorder="1" applyAlignment="1">
      <alignment horizontal="left" vertical="center"/>
    </xf>
    <xf numFmtId="0" fontId="11" fillId="9" borderId="0" xfId="4" applyFont="1" applyFill="1" applyAlignment="1">
      <alignment horizontal="center" vertical="center"/>
    </xf>
    <xf numFmtId="0" fontId="17" fillId="9" borderId="0" xfId="4" applyFont="1" applyFill="1" applyAlignment="1">
      <alignment horizontal="left" vertical="center"/>
    </xf>
    <xf numFmtId="0" fontId="14" fillId="9" borderId="1" xfId="4" applyFont="1" applyFill="1" applyBorder="1" applyAlignment="1">
      <alignment horizontal="center" vertical="center"/>
    </xf>
    <xf numFmtId="0" fontId="14" fillId="0" borderId="57" xfId="4" applyFont="1" applyBorder="1" applyAlignment="1">
      <alignment vertical="center"/>
    </xf>
    <xf numFmtId="0" fontId="14" fillId="0" borderId="16" xfId="4" applyFont="1" applyBorder="1" applyAlignment="1">
      <alignment vertical="center"/>
    </xf>
    <xf numFmtId="0" fontId="14" fillId="9" borderId="16" xfId="4" applyFont="1" applyFill="1" applyBorder="1" applyAlignment="1">
      <alignment horizontal="left" vertical="center"/>
    </xf>
    <xf numFmtId="0" fontId="14" fillId="7" borderId="54" xfId="4" applyFont="1" applyFill="1" applyBorder="1" applyAlignment="1">
      <alignment horizontal="center" vertical="center"/>
    </xf>
    <xf numFmtId="0" fontId="17" fillId="0" borderId="1" xfId="4" applyFont="1" applyBorder="1" applyAlignment="1">
      <alignment horizontal="left" vertical="center"/>
    </xf>
    <xf numFmtId="0" fontId="11" fillId="0" borderId="0" xfId="4" applyFont="1" applyAlignment="1">
      <alignment horizontal="left" vertical="center" wrapText="1"/>
    </xf>
    <xf numFmtId="0" fontId="11" fillId="0" borderId="0" xfId="4" applyFont="1" applyAlignment="1">
      <alignment horizontal="left" vertical="center"/>
    </xf>
    <xf numFmtId="0" fontId="19" fillId="9" borderId="0" xfId="4" applyFont="1" applyFill="1" applyAlignment="1">
      <alignment horizontal="centerContinuous" vertical="center"/>
    </xf>
    <xf numFmtId="0" fontId="8" fillId="9" borderId="1" xfId="4" applyFont="1" applyFill="1" applyBorder="1" applyAlignment="1">
      <alignment horizontal="center" vertical="center"/>
    </xf>
    <xf numFmtId="0" fontId="4" fillId="0" borderId="0" xfId="4"/>
    <xf numFmtId="0" fontId="4" fillId="0" borderId="0" xfId="4" applyAlignment="1">
      <alignment vertical="center"/>
    </xf>
    <xf numFmtId="0" fontId="4" fillId="0" borderId="0" xfId="4" applyAlignment="1">
      <alignment vertical="top"/>
    </xf>
    <xf numFmtId="0" fontId="4" fillId="0" borderId="49" xfId="4" applyBorder="1"/>
    <xf numFmtId="164" fontId="8" fillId="0" borderId="0" xfId="4" applyNumberFormat="1" applyFont="1" applyAlignment="1">
      <alignment vertical="center"/>
    </xf>
    <xf numFmtId="9" fontId="8" fillId="0" borderId="4" xfId="4" applyNumberFormat="1" applyFont="1" applyBorder="1" applyAlignment="1">
      <alignment horizontal="center" vertical="center"/>
    </xf>
    <xf numFmtId="43" fontId="8" fillId="0" borderId="0" xfId="1" applyFont="1" applyAlignment="1">
      <alignment vertical="center"/>
    </xf>
    <xf numFmtId="9" fontId="8" fillId="0" borderId="0" xfId="4" applyNumberFormat="1" applyFont="1" applyAlignment="1">
      <alignment vertical="center"/>
    </xf>
    <xf numFmtId="0" fontId="14" fillId="0" borderId="51" xfId="4" applyFont="1" applyBorder="1" applyAlignment="1">
      <alignment vertical="center"/>
    </xf>
    <xf numFmtId="0" fontId="5" fillId="14" borderId="54" xfId="4" applyFont="1" applyFill="1" applyBorder="1" applyAlignment="1">
      <alignment horizontal="center" vertical="center"/>
    </xf>
    <xf numFmtId="49" fontId="10" fillId="7" borderId="44" xfId="4" applyNumberFormat="1" applyFont="1" applyFill="1" applyBorder="1" applyAlignment="1">
      <alignment horizontal="center" vertical="center" wrapText="1"/>
    </xf>
    <xf numFmtId="49" fontId="10" fillId="7" borderId="30" xfId="4" applyNumberFormat="1" applyFont="1" applyFill="1" applyBorder="1" applyAlignment="1">
      <alignment horizontal="center" vertical="center" wrapText="1"/>
    </xf>
    <xf numFmtId="0" fontId="4" fillId="7" borderId="19" xfId="4" applyFill="1" applyBorder="1" applyAlignment="1">
      <alignment horizontal="center" vertical="center"/>
    </xf>
    <xf numFmtId="0" fontId="4" fillId="7" borderId="19" xfId="4" applyFill="1" applyBorder="1" applyAlignment="1">
      <alignment vertical="center"/>
    </xf>
    <xf numFmtId="0" fontId="4" fillId="7" borderId="19" xfId="4" applyFill="1" applyBorder="1" applyAlignment="1">
      <alignment horizontal="left" vertical="center" wrapText="1"/>
    </xf>
    <xf numFmtId="0" fontId="4" fillId="7" borderId="4" xfId="4" applyFill="1" applyBorder="1" applyAlignment="1">
      <alignment horizontal="left" vertical="center" wrapText="1"/>
    </xf>
    <xf numFmtId="0" fontId="22" fillId="0" borderId="0" xfId="4" applyFont="1" applyAlignment="1">
      <alignment horizontal="center" vertical="center"/>
    </xf>
    <xf numFmtId="164" fontId="10" fillId="0" borderId="54" xfId="5" applyNumberFormat="1" applyFont="1" applyBorder="1" applyAlignment="1">
      <alignment horizontal="center" vertical="center"/>
    </xf>
    <xf numFmtId="0" fontId="13" fillId="7" borderId="52" xfId="4" applyFont="1" applyFill="1" applyBorder="1" applyAlignment="1">
      <alignment horizontal="center" vertical="center"/>
    </xf>
    <xf numFmtId="49" fontId="13" fillId="7" borderId="55" xfId="4" applyNumberFormat="1" applyFont="1" applyFill="1" applyBorder="1" applyAlignment="1">
      <alignment horizontal="center" vertical="center" wrapText="1"/>
    </xf>
    <xf numFmtId="0" fontId="25" fillId="0" borderId="0" xfId="4" applyFont="1"/>
    <xf numFmtId="0" fontId="26" fillId="0" borderId="0" xfId="4" applyFont="1"/>
    <xf numFmtId="0" fontId="27" fillId="0" borderId="0" xfId="4" applyFont="1"/>
    <xf numFmtId="0" fontId="17" fillId="0" borderId="0" xfId="4" applyFont="1" applyAlignment="1">
      <alignment horizontal="center" vertical="top"/>
    </xf>
    <xf numFmtId="0" fontId="29" fillId="6" borderId="80" xfId="4" applyFont="1" applyFill="1" applyBorder="1" applyAlignment="1">
      <alignment horizontal="center" vertical="top"/>
    </xf>
    <xf numFmtId="0" fontId="29" fillId="6" borderId="81" xfId="4" applyFont="1" applyFill="1" applyBorder="1" applyAlignment="1">
      <alignment horizontal="center" vertical="top" wrapText="1"/>
    </xf>
    <xf numFmtId="0" fontId="29" fillId="6" borderId="82" xfId="4" applyFont="1" applyFill="1" applyBorder="1" applyAlignment="1">
      <alignment horizontal="center" vertical="top" wrapText="1"/>
    </xf>
    <xf numFmtId="0" fontId="29" fillId="6" borderId="72" xfId="4" applyFont="1" applyFill="1" applyBorder="1" applyAlignment="1">
      <alignment horizontal="center" vertical="top" wrapText="1"/>
    </xf>
    <xf numFmtId="0" fontId="29" fillId="6" borderId="73" xfId="4" applyFont="1" applyFill="1" applyBorder="1" applyAlignment="1">
      <alignment horizontal="center" vertical="top" wrapText="1"/>
    </xf>
    <xf numFmtId="0" fontId="29" fillId="6" borderId="84" xfId="4" applyFont="1" applyFill="1" applyBorder="1" applyAlignment="1">
      <alignment horizontal="center" vertical="top" wrapText="1"/>
    </xf>
    <xf numFmtId="0" fontId="4" fillId="0" borderId="51" xfId="4" applyBorder="1"/>
    <xf numFmtId="0" fontId="4" fillId="0" borderId="16" xfId="4" applyBorder="1"/>
    <xf numFmtId="0" fontId="4" fillId="0" borderId="13" xfId="4" applyBorder="1"/>
    <xf numFmtId="43" fontId="23" fillId="15" borderId="85" xfId="18" applyFont="1" applyFill="1" applyBorder="1"/>
    <xf numFmtId="167" fontId="30" fillId="16" borderId="54" xfId="4" applyNumberFormat="1" applyFont="1" applyFill="1" applyBorder="1"/>
    <xf numFmtId="0" fontId="30" fillId="16" borderId="54" xfId="4" applyFont="1" applyFill="1" applyBorder="1" applyAlignment="1">
      <alignment horizontal="center"/>
    </xf>
    <xf numFmtId="43" fontId="0" fillId="16" borderId="54" xfId="18" applyFont="1" applyFill="1" applyBorder="1"/>
    <xf numFmtId="43" fontId="24" fillId="16" borderId="54" xfId="18" applyFont="1" applyFill="1" applyBorder="1"/>
    <xf numFmtId="43" fontId="1" fillId="16" borderId="54" xfId="18" applyFont="1" applyFill="1" applyBorder="1"/>
    <xf numFmtId="43" fontId="5" fillId="16" borderId="54" xfId="18" applyFont="1" applyFill="1" applyBorder="1"/>
    <xf numFmtId="168" fontId="0" fillId="16" borderId="54" xfId="18" applyNumberFormat="1" applyFont="1" applyFill="1" applyBorder="1"/>
    <xf numFmtId="43" fontId="0" fillId="16" borderId="54" xfId="1" applyFont="1" applyFill="1" applyBorder="1"/>
    <xf numFmtId="43" fontId="0" fillId="16" borderId="45" xfId="18" applyFont="1" applyFill="1" applyBorder="1"/>
    <xf numFmtId="167" fontId="30" fillId="0" borderId="54" xfId="4" applyNumberFormat="1" applyFont="1" applyBorder="1"/>
    <xf numFmtId="0" fontId="30" fillId="0" borderId="54" xfId="4" applyFont="1" applyBorder="1" applyAlignment="1">
      <alignment horizontal="center"/>
    </xf>
    <xf numFmtId="43" fontId="0" fillId="0" borderId="54" xfId="18" applyFont="1" applyBorder="1"/>
    <xf numFmtId="43" fontId="24" fillId="0" borderId="54" xfId="18" applyFont="1" applyBorder="1"/>
    <xf numFmtId="43" fontId="1" fillId="0" borderId="54" xfId="18" applyFont="1" applyBorder="1"/>
    <xf numFmtId="43" fontId="5" fillId="0" borderId="54" xfId="18" applyFont="1" applyBorder="1"/>
    <xf numFmtId="168" fontId="0" fillId="0" borderId="54" xfId="18" applyNumberFormat="1" applyFont="1" applyBorder="1"/>
    <xf numFmtId="43" fontId="0" fillId="0" borderId="54" xfId="1" applyFont="1" applyBorder="1"/>
    <xf numFmtId="17" fontId="4" fillId="0" borderId="0" xfId="4" applyNumberFormat="1"/>
    <xf numFmtId="43" fontId="0" fillId="0" borderId="0" xfId="18" applyFont="1"/>
    <xf numFmtId="43" fontId="24" fillId="0" borderId="0" xfId="18" applyFont="1"/>
    <xf numFmtId="0" fontId="5" fillId="0" borderId="0" xfId="4" applyFont="1"/>
    <xf numFmtId="43" fontId="4" fillId="0" borderId="0" xfId="1" applyFont="1"/>
    <xf numFmtId="0" fontId="8" fillId="0" borderId="28" xfId="4" applyFont="1" applyBorder="1" applyAlignment="1">
      <alignment vertical="center"/>
    </xf>
    <xf numFmtId="49" fontId="10" fillId="7" borderId="54" xfId="19" applyNumberFormat="1" applyFont="1" applyFill="1" applyBorder="1" applyAlignment="1">
      <alignment horizontal="center" vertical="center" wrapText="1"/>
    </xf>
    <xf numFmtId="0" fontId="31" fillId="0" borderId="0" xfId="0" applyFont="1" applyAlignment="1">
      <alignment horizontal="center"/>
    </xf>
    <xf numFmtId="49" fontId="31" fillId="0" borderId="0" xfId="0" applyNumberFormat="1" applyFont="1"/>
    <xf numFmtId="49" fontId="31" fillId="0" borderId="0" xfId="0" applyNumberFormat="1" applyFont="1" applyAlignment="1">
      <alignment horizontal="center"/>
    </xf>
    <xf numFmtId="14" fontId="31" fillId="0" borderId="0" xfId="0" applyNumberFormat="1" applyFont="1"/>
    <xf numFmtId="0" fontId="31" fillId="0" borderId="0" xfId="0" applyFont="1"/>
    <xf numFmtId="43" fontId="31" fillId="0" borderId="0" xfId="1" applyFont="1"/>
    <xf numFmtId="43" fontId="34" fillId="0" borderId="0" xfId="1" applyFont="1"/>
    <xf numFmtId="49" fontId="31" fillId="0" borderId="0" xfId="0" applyNumberFormat="1" applyFont="1" applyAlignment="1">
      <alignment horizontal="left"/>
    </xf>
    <xf numFmtId="0" fontId="31" fillId="0" borderId="0" xfId="0" applyFont="1" applyAlignment="1">
      <alignment horizontal="right"/>
    </xf>
    <xf numFmtId="10" fontId="31" fillId="0" borderId="0" xfId="2" applyNumberFormat="1" applyFont="1" applyAlignment="1">
      <alignment horizontal="center"/>
    </xf>
    <xf numFmtId="0" fontId="31" fillId="0" borderId="0" xfId="1" applyNumberFormat="1" applyFont="1"/>
    <xf numFmtId="164" fontId="31" fillId="0" borderId="0" xfId="1" applyNumberFormat="1" applyFont="1"/>
    <xf numFmtId="0" fontId="36" fillId="0" borderId="0" xfId="0" applyFont="1"/>
    <xf numFmtId="49" fontId="35" fillId="0" borderId="0" xfId="0" applyNumberFormat="1" applyFont="1"/>
    <xf numFmtId="43" fontId="37" fillId="0" borderId="0" xfId="1" applyFont="1"/>
    <xf numFmtId="49" fontId="38" fillId="0" borderId="0" xfId="1" applyNumberFormat="1" applyFont="1" applyAlignment="1">
      <alignment horizontal="center" vertical="center" wrapText="1"/>
    </xf>
    <xf numFmtId="0" fontId="38" fillId="0" borderId="0" xfId="0" applyFont="1" applyAlignment="1">
      <alignment horizontal="center" vertical="center" wrapText="1"/>
    </xf>
    <xf numFmtId="49" fontId="38" fillId="0" borderId="0" xfId="0" applyNumberFormat="1" applyFont="1" applyAlignment="1">
      <alignment horizontal="center" vertical="center" wrapText="1"/>
    </xf>
    <xf numFmtId="14" fontId="38" fillId="0" borderId="0" xfId="0" applyNumberFormat="1" applyFont="1" applyAlignment="1">
      <alignment horizontal="center" vertical="center" wrapText="1"/>
    </xf>
    <xf numFmtId="43" fontId="38" fillId="0" borderId="0" xfId="1" applyFont="1" applyAlignment="1">
      <alignment horizontal="center" vertical="center" wrapText="1"/>
    </xf>
    <xf numFmtId="164" fontId="38" fillId="0" borderId="0" xfId="1" applyNumberFormat="1" applyFont="1" applyAlignment="1">
      <alignment horizontal="center" vertical="center" wrapText="1"/>
    </xf>
    <xf numFmtId="10" fontId="38" fillId="0" borderId="0" xfId="2" applyNumberFormat="1" applyFont="1" applyAlignment="1">
      <alignment horizontal="center" vertical="center" wrapText="1"/>
    </xf>
    <xf numFmtId="0" fontId="38" fillId="0" borderId="0" xfId="1" applyNumberFormat="1" applyFont="1" applyAlignment="1">
      <alignment horizontal="center" vertical="center" wrapText="1"/>
    </xf>
    <xf numFmtId="0" fontId="38" fillId="0" borderId="0" xfId="0" applyFont="1"/>
    <xf numFmtId="43" fontId="34" fillId="0" borderId="0" xfId="1" applyFont="1" applyAlignment="1">
      <alignment vertical="center"/>
    </xf>
    <xf numFmtId="0" fontId="34" fillId="0" borderId="0" xfId="0" applyFont="1" applyAlignment="1">
      <alignment vertical="center"/>
    </xf>
    <xf numFmtId="43" fontId="39" fillId="2" borderId="18" xfId="1" applyFont="1" applyFill="1" applyBorder="1" applyAlignment="1">
      <alignment horizontal="center" vertical="top" wrapText="1"/>
    </xf>
    <xf numFmtId="43" fontId="39" fillId="2" borderId="19" xfId="1" applyFont="1" applyFill="1" applyBorder="1" applyAlignment="1">
      <alignment horizontal="center" vertical="top" wrapText="1"/>
    </xf>
    <xf numFmtId="0" fontId="31" fillId="0" borderId="0" xfId="0" applyFont="1" applyAlignment="1">
      <alignment vertical="top"/>
    </xf>
    <xf numFmtId="49" fontId="36" fillId="0" borderId="0" xfId="0" applyNumberFormat="1" applyFont="1"/>
    <xf numFmtId="0" fontId="36" fillId="0" borderId="0" xfId="0" applyFont="1" applyAlignment="1">
      <alignment horizontal="center"/>
    </xf>
    <xf numFmtId="14" fontId="36" fillId="0" borderId="0" xfId="0" applyNumberFormat="1" applyFont="1"/>
    <xf numFmtId="43" fontId="36" fillId="0" borderId="0" xfId="1" applyFont="1"/>
    <xf numFmtId="10" fontId="36" fillId="0" borderId="0" xfId="2" applyNumberFormat="1" applyFont="1"/>
    <xf numFmtId="49" fontId="31" fillId="0" borderId="0" xfId="19" applyNumberFormat="1" applyFont="1"/>
    <xf numFmtId="0" fontId="31" fillId="0" borderId="0" xfId="19" applyFont="1" applyAlignment="1">
      <alignment horizontal="center"/>
    </xf>
    <xf numFmtId="0" fontId="31" fillId="0" borderId="0" xfId="19" applyFont="1"/>
    <xf numFmtId="14" fontId="31" fillId="0" borderId="0" xfId="19" applyNumberFormat="1" applyFont="1"/>
    <xf numFmtId="49" fontId="35" fillId="0" borderId="0" xfId="19" applyNumberFormat="1" applyFont="1" applyAlignment="1">
      <alignment vertical="center"/>
    </xf>
    <xf numFmtId="49" fontId="31" fillId="0" borderId="0" xfId="19" applyNumberFormat="1" applyFont="1" applyAlignment="1">
      <alignment horizontal="center"/>
    </xf>
    <xf numFmtId="0" fontId="31" fillId="0" borderId="0" xfId="19" applyFont="1" applyAlignment="1">
      <alignment vertical="top"/>
    </xf>
    <xf numFmtId="14" fontId="38" fillId="0" borderId="0" xfId="0" applyNumberFormat="1" applyFont="1"/>
    <xf numFmtId="0" fontId="38" fillId="0" borderId="0" xfId="0" applyFont="1" applyAlignment="1">
      <alignment horizontal="center"/>
    </xf>
    <xf numFmtId="164" fontId="35" fillId="0" borderId="0" xfId="1" applyNumberFormat="1" applyFont="1" applyAlignment="1">
      <alignment vertical="top"/>
    </xf>
    <xf numFmtId="49" fontId="38" fillId="0" borderId="0" xfId="0" applyNumberFormat="1" applyFont="1"/>
    <xf numFmtId="0" fontId="31" fillId="0" borderId="0" xfId="0" applyFont="1" applyAlignment="1">
      <alignment horizontal="center" vertical="center" wrapText="1"/>
    </xf>
    <xf numFmtId="49" fontId="31" fillId="0" borderId="0" xfId="1" applyNumberFormat="1" applyFont="1"/>
    <xf numFmtId="49" fontId="36" fillId="0" borderId="0" xfId="0" applyNumberFormat="1" applyFont="1" applyAlignment="1">
      <alignment horizontal="center"/>
    </xf>
    <xf numFmtId="164" fontId="38" fillId="0" borderId="0" xfId="1" applyNumberFormat="1" applyFont="1" applyAlignment="1">
      <alignment vertical="center" wrapText="1"/>
    </xf>
    <xf numFmtId="49" fontId="40" fillId="0" borderId="0" xfId="1" applyNumberFormat="1" applyFont="1" applyAlignment="1">
      <alignment vertical="center"/>
    </xf>
    <xf numFmtId="0" fontId="41" fillId="0" borderId="0" xfId="0" applyFont="1" applyAlignment="1">
      <alignment horizontal="right" vertical="center"/>
    </xf>
    <xf numFmtId="49" fontId="43" fillId="0" borderId="0" xfId="1" applyNumberFormat="1" applyFont="1" applyAlignment="1">
      <alignment vertical="top"/>
    </xf>
    <xf numFmtId="49" fontId="44" fillId="0" borderId="0" xfId="0" applyNumberFormat="1" applyFont="1" applyAlignment="1">
      <alignment vertical="top"/>
    </xf>
    <xf numFmtId="43" fontId="38" fillId="0" borderId="0" xfId="1" applyFont="1" applyBorder="1" applyAlignment="1">
      <alignment horizontal="center" vertical="center" wrapText="1"/>
    </xf>
    <xf numFmtId="49" fontId="33" fillId="0" borderId="0" xfId="19" applyNumberFormat="1" applyFont="1" applyAlignment="1">
      <alignment vertical="center"/>
    </xf>
    <xf numFmtId="49" fontId="31" fillId="0" borderId="0" xfId="0" applyNumberFormat="1" applyFont="1" applyAlignment="1">
      <alignment horizontal="center" vertical="center"/>
    </xf>
    <xf numFmtId="43" fontId="34" fillId="0" borderId="3" xfId="1" applyFont="1" applyBorder="1" applyAlignment="1">
      <alignment vertical="center"/>
    </xf>
    <xf numFmtId="43" fontId="34" fillId="0" borderId="4" xfId="1" applyFont="1" applyBorder="1" applyAlignment="1">
      <alignment vertical="center"/>
    </xf>
    <xf numFmtId="49" fontId="35" fillId="0" borderId="0" xfId="1" applyNumberFormat="1" applyFont="1" applyAlignment="1">
      <alignment horizontal="center" vertical="center"/>
    </xf>
    <xf numFmtId="49" fontId="39" fillId="2" borderId="71" xfId="1" applyNumberFormat="1" applyFont="1" applyFill="1" applyBorder="1" applyAlignment="1">
      <alignment horizontal="center" vertical="top" wrapText="1"/>
    </xf>
    <xf numFmtId="49" fontId="35" fillId="0" borderId="0" xfId="0" applyNumberFormat="1" applyFont="1" applyAlignment="1">
      <alignment horizontal="center"/>
    </xf>
    <xf numFmtId="0" fontId="0" fillId="0" borderId="0" xfId="0" applyAlignment="1">
      <alignment vertical="center" wrapText="1"/>
    </xf>
    <xf numFmtId="0" fontId="24" fillId="0" borderId="0" xfId="0" applyFont="1" applyAlignment="1">
      <alignment vertical="center" wrapText="1"/>
    </xf>
    <xf numFmtId="49" fontId="0" fillId="0" borderId="0" xfId="0" applyNumberFormat="1" applyAlignment="1">
      <alignment vertical="center"/>
    </xf>
    <xf numFmtId="49" fontId="0" fillId="0" borderId="0" xfId="0" applyNumberFormat="1" applyAlignment="1">
      <alignment horizontal="center" vertical="center"/>
    </xf>
    <xf numFmtId="49" fontId="46" fillId="17" borderId="87" xfId="0" applyNumberFormat="1" applyFont="1" applyFill="1" applyBorder="1" applyAlignment="1">
      <alignment horizontal="centerContinuous" vertical="center"/>
    </xf>
    <xf numFmtId="49" fontId="46" fillId="17" borderId="88" xfId="0" applyNumberFormat="1" applyFont="1" applyFill="1" applyBorder="1" applyAlignment="1">
      <alignment horizontal="centerContinuous" vertical="center"/>
    </xf>
    <xf numFmtId="0" fontId="46" fillId="17" borderId="88" xfId="0" applyFont="1" applyFill="1" applyBorder="1" applyAlignment="1">
      <alignment horizontal="centerContinuous" vertical="center"/>
    </xf>
    <xf numFmtId="0" fontId="46" fillId="17" borderId="89" xfId="0" applyFont="1" applyFill="1" applyBorder="1" applyAlignment="1">
      <alignment horizontal="centerContinuous" vertical="center"/>
    </xf>
    <xf numFmtId="49" fontId="0" fillId="0" borderId="86" xfId="0" applyNumberFormat="1" applyBorder="1" applyAlignment="1">
      <alignment horizontal="center" vertical="center"/>
    </xf>
    <xf numFmtId="0" fontId="0" fillId="0" borderId="86" xfId="0" applyBorder="1" applyAlignment="1">
      <alignment vertical="center" wrapText="1"/>
    </xf>
    <xf numFmtId="0" fontId="24" fillId="0" borderId="0" xfId="0" applyFont="1" applyAlignment="1">
      <alignment vertical="center"/>
    </xf>
    <xf numFmtId="0" fontId="24" fillId="0" borderId="0" xfId="0" applyFont="1" applyAlignment="1">
      <alignment horizontal="centerContinuous" vertical="center"/>
    </xf>
    <xf numFmtId="49" fontId="0" fillId="0" borderId="0" xfId="0" applyNumberFormat="1" applyAlignment="1">
      <alignment horizontal="centerContinuous" vertical="center"/>
    </xf>
    <xf numFmtId="0" fontId="0" fillId="0" borderId="0" xfId="0" applyAlignment="1">
      <alignment horizontal="centerContinuous" vertical="center"/>
    </xf>
    <xf numFmtId="49" fontId="24" fillId="0" borderId="87" xfId="0" applyNumberFormat="1" applyFont="1" applyBorder="1" applyAlignment="1">
      <alignment vertical="center"/>
    </xf>
    <xf numFmtId="49" fontId="24" fillId="0" borderId="88" xfId="0" applyNumberFormat="1" applyFont="1" applyBorder="1" applyAlignment="1">
      <alignment horizontal="center" vertical="center"/>
    </xf>
    <xf numFmtId="0" fontId="24" fillId="0" borderId="88" xfId="0" applyFont="1" applyBorder="1" applyAlignment="1">
      <alignment vertical="center"/>
    </xf>
    <xf numFmtId="49" fontId="24" fillId="0" borderId="89" xfId="0" applyNumberFormat="1" applyFont="1" applyBorder="1" applyAlignment="1">
      <alignment horizontal="right" vertical="center"/>
    </xf>
    <xf numFmtId="49" fontId="24" fillId="12" borderId="86" xfId="0" applyNumberFormat="1" applyFont="1" applyFill="1" applyBorder="1" applyAlignment="1">
      <alignment horizontal="center" vertical="top" wrapText="1"/>
    </xf>
    <xf numFmtId="0" fontId="24" fillId="12" borderId="86" xfId="0" applyFont="1" applyFill="1" applyBorder="1" applyAlignment="1">
      <alignment horizontal="center" vertical="top" wrapText="1"/>
    </xf>
    <xf numFmtId="0" fontId="24" fillId="0" borderId="0" xfId="0" applyFont="1" applyAlignment="1">
      <alignment vertical="top" wrapText="1"/>
    </xf>
    <xf numFmtId="49" fontId="0" fillId="0" borderId="86" xfId="0" applyNumberFormat="1" applyBorder="1" applyAlignment="1">
      <alignment horizontal="centerContinuous" vertical="top" wrapText="1"/>
    </xf>
    <xf numFmtId="0" fontId="0" fillId="0" borderId="86" xfId="0" applyBorder="1" applyAlignment="1">
      <alignment horizontal="centerContinuous" vertical="top" wrapText="1"/>
    </xf>
    <xf numFmtId="43" fontId="0" fillId="0" borderId="86" xfId="1" applyFont="1" applyBorder="1" applyAlignment="1">
      <alignment horizontal="centerContinuous" vertical="top" wrapText="1"/>
    </xf>
    <xf numFmtId="43" fontId="0" fillId="0" borderId="87" xfId="1" applyFont="1" applyBorder="1" applyAlignment="1">
      <alignment vertical="center"/>
    </xf>
    <xf numFmtId="43" fontId="0" fillId="0" borderId="89" xfId="1" applyFont="1" applyBorder="1" applyAlignment="1">
      <alignment vertical="center"/>
    </xf>
    <xf numFmtId="43" fontId="24" fillId="0" borderId="88" xfId="1" applyFont="1" applyBorder="1" applyAlignment="1">
      <alignment vertical="center"/>
    </xf>
    <xf numFmtId="43" fontId="24" fillId="0" borderId="89" xfId="1" applyFont="1" applyBorder="1" applyAlignment="1">
      <alignment vertical="center"/>
    </xf>
    <xf numFmtId="43" fontId="0" fillId="0" borderId="87" xfId="1" applyFont="1" applyBorder="1" applyAlignment="1">
      <alignment horizontal="centerContinuous" vertical="top" wrapText="1"/>
    </xf>
    <xf numFmtId="0" fontId="24" fillId="0" borderId="0" xfId="0" applyFont="1" applyAlignment="1">
      <alignment horizontal="center" vertical="top" wrapText="1"/>
    </xf>
    <xf numFmtId="49" fontId="24" fillId="0" borderId="0" xfId="0" applyNumberFormat="1" applyFont="1" applyAlignment="1">
      <alignment vertical="center"/>
    </xf>
    <xf numFmtId="49" fontId="24" fillId="0" borderId="0" xfId="0" applyNumberFormat="1" applyFont="1" applyAlignment="1">
      <alignment horizontal="center" vertical="center"/>
    </xf>
    <xf numFmtId="49" fontId="24" fillId="0" borderId="88" xfId="0" applyNumberFormat="1" applyFont="1" applyBorder="1" applyAlignment="1">
      <alignment horizontal="right" vertical="center"/>
    </xf>
    <xf numFmtId="49" fontId="24" fillId="12" borderId="89" xfId="0" applyNumberFormat="1" applyFont="1" applyFill="1" applyBorder="1" applyAlignment="1">
      <alignment horizontal="center" vertical="top" wrapText="1"/>
    </xf>
    <xf numFmtId="49" fontId="24" fillId="0" borderId="86" xfId="0" applyNumberFormat="1" applyFont="1" applyBorder="1" applyAlignment="1">
      <alignment horizontal="center" vertical="center"/>
    </xf>
    <xf numFmtId="49" fontId="0" fillId="0" borderId="86" xfId="1" applyNumberFormat="1" applyFont="1" applyBorder="1" applyAlignment="1">
      <alignment horizontal="center" vertical="center"/>
    </xf>
    <xf numFmtId="4" fontId="0" fillId="0" borderId="88" xfId="1" applyNumberFormat="1" applyFont="1" applyBorder="1" applyAlignment="1">
      <alignment vertical="center"/>
    </xf>
    <xf numFmtId="4" fontId="24" fillId="0" borderId="88" xfId="1" applyNumberFormat="1" applyFont="1" applyBorder="1" applyAlignment="1">
      <alignment vertical="center"/>
    </xf>
    <xf numFmtId="4" fontId="0" fillId="0" borderId="86" xfId="1" applyNumberFormat="1" applyFont="1" applyBorder="1" applyAlignment="1">
      <alignment vertical="center"/>
    </xf>
    <xf numFmtId="4" fontId="24" fillId="0" borderId="86" xfId="1" applyNumberFormat="1" applyFont="1" applyBorder="1" applyAlignment="1">
      <alignment vertical="center"/>
    </xf>
    <xf numFmtId="0" fontId="0" fillId="0" borderId="86" xfId="0" applyBorder="1" applyAlignment="1">
      <alignment horizontal="center" vertical="center"/>
    </xf>
    <xf numFmtId="0" fontId="0" fillId="0" borderId="86" xfId="1" applyNumberFormat="1" applyFont="1" applyBorder="1" applyAlignment="1">
      <alignment horizontal="center" vertical="center"/>
    </xf>
    <xf numFmtId="0" fontId="24" fillId="0" borderId="0" xfId="0" applyFont="1" applyAlignment="1">
      <alignment horizontal="center" vertical="center"/>
    </xf>
    <xf numFmtId="49" fontId="0" fillId="0" borderId="0" xfId="0" applyNumberFormat="1" applyAlignment="1">
      <alignment horizontal="centerContinuous" vertical="center" wrapText="1"/>
    </xf>
    <xf numFmtId="0" fontId="0" fillId="0" borderId="0" xfId="0" applyAlignment="1">
      <alignment horizontal="centerContinuous" vertical="center" wrapText="1"/>
    </xf>
    <xf numFmtId="49" fontId="24" fillId="0" borderId="0" xfId="0" applyNumberFormat="1" applyFont="1" applyAlignment="1">
      <alignment horizontal="centerContinuous" vertical="center" wrapText="1"/>
    </xf>
    <xf numFmtId="49" fontId="43" fillId="0" borderId="0" xfId="19" applyNumberFormat="1" applyFont="1" applyAlignment="1">
      <alignment vertical="center"/>
    </xf>
    <xf numFmtId="1" fontId="31" fillId="0" borderId="0" xfId="0" applyNumberFormat="1" applyFont="1" applyAlignment="1">
      <alignment horizontal="center"/>
    </xf>
    <xf numFmtId="1" fontId="38" fillId="0" borderId="0" xfId="0" applyNumberFormat="1" applyFont="1" applyAlignment="1">
      <alignment horizontal="center" vertical="center" wrapText="1"/>
    </xf>
    <xf numFmtId="1" fontId="36" fillId="0" borderId="0" xfId="0" applyNumberFormat="1" applyFont="1" applyAlignment="1">
      <alignment horizontal="center"/>
    </xf>
    <xf numFmtId="1" fontId="31" fillId="0" borderId="0" xfId="1" applyNumberFormat="1" applyFont="1" applyAlignment="1">
      <alignment horizontal="center"/>
    </xf>
    <xf numFmtId="1" fontId="38" fillId="0" borderId="0" xfId="1" applyNumberFormat="1" applyFont="1" applyAlignment="1">
      <alignment horizontal="center" vertical="center" wrapText="1"/>
    </xf>
    <xf numFmtId="0" fontId="36" fillId="0" borderId="54" xfId="0" applyFont="1" applyBorder="1"/>
    <xf numFmtId="0" fontId="50" fillId="0" borderId="0" xfId="4" applyFont="1"/>
    <xf numFmtId="0" fontId="50" fillId="0" borderId="0" xfId="4" applyFont="1" applyAlignment="1">
      <alignment horizontal="center" vertical="top" wrapText="1"/>
    </xf>
    <xf numFmtId="43" fontId="5" fillId="0" borderId="0" xfId="4" applyNumberFormat="1" applyFont="1"/>
    <xf numFmtId="43" fontId="4" fillId="0" borderId="0" xfId="4" applyNumberFormat="1"/>
    <xf numFmtId="9" fontId="4" fillId="0" borderId="0" xfId="4" applyNumberFormat="1" applyAlignment="1">
      <alignment horizontal="center"/>
    </xf>
    <xf numFmtId="43" fontId="4" fillId="0" borderId="93" xfId="1" applyFont="1" applyBorder="1"/>
    <xf numFmtId="43" fontId="4" fillId="0" borderId="0" xfId="1" applyFont="1" applyBorder="1"/>
    <xf numFmtId="0" fontId="5" fillId="0" borderId="0" xfId="4" applyFont="1" applyAlignment="1">
      <alignment horizontal="right"/>
    </xf>
    <xf numFmtId="43" fontId="47" fillId="0" borderId="54" xfId="1" applyFont="1" applyBorder="1" applyAlignment="1">
      <alignment vertical="center"/>
    </xf>
    <xf numFmtId="14" fontId="48" fillId="0" borderId="54" xfId="19" applyNumberFormat="1" applyFont="1" applyBorder="1" applyAlignment="1">
      <alignment horizontal="center" vertical="center"/>
    </xf>
    <xf numFmtId="43" fontId="14" fillId="0" borderId="54" xfId="1" applyFont="1" applyBorder="1" applyAlignment="1">
      <alignment vertical="center"/>
    </xf>
    <xf numFmtId="43" fontId="17" fillId="0" borderId="54" xfId="4" applyNumberFormat="1" applyFont="1" applyBorder="1" applyAlignment="1">
      <alignment vertical="center"/>
    </xf>
    <xf numFmtId="43" fontId="5" fillId="0" borderId="24" xfId="4" applyNumberFormat="1" applyFont="1" applyBorder="1"/>
    <xf numFmtId="0" fontId="17" fillId="0" borderId="51" xfId="4" applyFont="1" applyBorder="1" applyAlignment="1">
      <alignment horizontal="center" vertical="center"/>
    </xf>
    <xf numFmtId="0" fontId="17" fillId="0" borderId="54" xfId="4" applyFont="1" applyBorder="1" applyAlignment="1">
      <alignment horizontal="center" vertical="center"/>
    </xf>
    <xf numFmtId="43" fontId="4" fillId="18" borderId="0" xfId="1" applyFont="1" applyFill="1"/>
    <xf numFmtId="43" fontId="4" fillId="18" borderId="0" xfId="4" applyNumberFormat="1" applyFill="1"/>
    <xf numFmtId="43" fontId="4" fillId="18" borderId="93" xfId="1" applyFont="1" applyFill="1" applyBorder="1"/>
    <xf numFmtId="43" fontId="49" fillId="18" borderId="0" xfId="1" applyFont="1" applyFill="1" applyBorder="1"/>
    <xf numFmtId="43" fontId="4" fillId="18" borderId="0" xfId="1" applyFont="1" applyFill="1" applyBorder="1"/>
    <xf numFmtId="0" fontId="4" fillId="18" borderId="0" xfId="4" applyFill="1"/>
    <xf numFmtId="43" fontId="49" fillId="0" borderId="0" xfId="1" applyFont="1" applyFill="1" applyBorder="1"/>
    <xf numFmtId="0" fontId="5" fillId="19" borderId="0" xfId="4" quotePrefix="1" applyFont="1" applyFill="1" applyAlignment="1">
      <alignment horizontal="left" vertical="center"/>
    </xf>
    <xf numFmtId="0" fontId="17" fillId="19" borderId="0" xfId="4" applyFont="1" applyFill="1" applyAlignment="1">
      <alignment horizontal="center" vertical="center"/>
    </xf>
    <xf numFmtId="0" fontId="14" fillId="19" borderId="0" xfId="4" applyFont="1" applyFill="1" applyAlignment="1">
      <alignment vertical="center"/>
    </xf>
    <xf numFmtId="0" fontId="49" fillId="0" borderId="0" xfId="4" applyFont="1"/>
    <xf numFmtId="0" fontId="29" fillId="6" borderId="74" xfId="4" applyFont="1" applyFill="1" applyBorder="1" applyAlignment="1">
      <alignment horizontal="center" vertical="top" wrapText="1"/>
    </xf>
    <xf numFmtId="43" fontId="11" fillId="0" borderId="0" xfId="1" applyFont="1" applyAlignment="1">
      <alignment vertical="center"/>
    </xf>
    <xf numFmtId="9" fontId="5" fillId="0" borderId="0" xfId="4" applyNumberFormat="1" applyFont="1" applyAlignment="1">
      <alignment horizontal="center"/>
    </xf>
    <xf numFmtId="0" fontId="51" fillId="0" borderId="49" xfId="4" applyFont="1" applyBorder="1"/>
    <xf numFmtId="49" fontId="31" fillId="0" borderId="0" xfId="0" applyNumberFormat="1" applyFont="1" applyAlignment="1">
      <alignment vertical="center"/>
    </xf>
    <xf numFmtId="0" fontId="45" fillId="7" borderId="0" xfId="4" applyFont="1" applyFill="1"/>
    <xf numFmtId="0" fontId="54" fillId="0" borderId="0" xfId="0" applyFont="1" applyAlignment="1">
      <alignment vertical="center"/>
    </xf>
    <xf numFmtId="0" fontId="54" fillId="0" borderId="0" xfId="0" applyFont="1" applyAlignment="1">
      <alignment horizontal="center" vertical="center"/>
    </xf>
    <xf numFmtId="1" fontId="31" fillId="0" borderId="0" xfId="0" applyNumberFormat="1" applyFont="1"/>
    <xf numFmtId="1" fontId="36" fillId="0" borderId="0" xfId="0" applyNumberFormat="1" applyFont="1"/>
    <xf numFmtId="14" fontId="39" fillId="2" borderId="71" xfId="1" applyNumberFormat="1" applyFont="1" applyFill="1" applyBorder="1" applyAlignment="1">
      <alignment horizontal="center" vertical="top" wrapText="1"/>
    </xf>
    <xf numFmtId="49" fontId="52" fillId="7" borderId="0" xfId="4" applyNumberFormat="1" applyFont="1" applyFill="1" applyAlignment="1">
      <alignment horizontal="left" vertical="center"/>
    </xf>
    <xf numFmtId="14" fontId="52" fillId="7" borderId="0" xfId="4" applyNumberFormat="1" applyFont="1" applyFill="1" applyAlignment="1">
      <alignment horizontal="left" vertical="center"/>
    </xf>
    <xf numFmtId="49" fontId="52" fillId="7" borderId="0" xfId="4" applyNumberFormat="1" applyFont="1" applyFill="1" applyAlignment="1">
      <alignment vertical="center"/>
    </xf>
    <xf numFmtId="49" fontId="52" fillId="7" borderId="0" xfId="4" applyNumberFormat="1" applyFont="1" applyFill="1" applyAlignment="1">
      <alignment horizontal="center" vertical="center"/>
    </xf>
    <xf numFmtId="164" fontId="52" fillId="7" borderId="0" xfId="20" applyFont="1" applyFill="1" applyAlignment="1">
      <alignment vertical="center"/>
    </xf>
    <xf numFmtId="0" fontId="52" fillId="7" borderId="0" xfId="4" applyFont="1" applyFill="1" applyAlignment="1">
      <alignment vertical="center"/>
    </xf>
    <xf numFmtId="49" fontId="36" fillId="0" borderId="0" xfId="0" applyNumberFormat="1" applyFont="1" applyAlignment="1">
      <alignment vertical="center"/>
    </xf>
    <xf numFmtId="49" fontId="36" fillId="0" borderId="0" xfId="0" applyNumberFormat="1" applyFont="1" applyAlignment="1">
      <alignment horizontal="center" vertical="center"/>
    </xf>
    <xf numFmtId="14" fontId="36" fillId="0" borderId="0" xfId="0" applyNumberFormat="1" applyFont="1" applyAlignment="1">
      <alignment vertical="center"/>
    </xf>
    <xf numFmtId="43" fontId="36" fillId="0" borderId="0" xfId="1" applyFont="1" applyAlignment="1">
      <alignment horizontal="center" vertical="center"/>
    </xf>
    <xf numFmtId="49" fontId="36" fillId="0" borderId="0" xfId="1" applyNumberFormat="1" applyFont="1" applyAlignment="1">
      <alignment horizontal="center" vertical="center"/>
    </xf>
    <xf numFmtId="0" fontId="6" fillId="0" borderId="0" xfId="0" applyFont="1" applyAlignment="1">
      <alignment vertical="center"/>
    </xf>
    <xf numFmtId="49" fontId="36" fillId="0" borderId="0" xfId="1" applyNumberFormat="1" applyFont="1" applyAlignment="1">
      <alignment vertical="center"/>
    </xf>
    <xf numFmtId="49" fontId="39" fillId="2" borderId="18" xfId="1" applyNumberFormat="1" applyFont="1" applyFill="1" applyBorder="1" applyAlignment="1">
      <alignment horizontal="center" vertical="top"/>
    </xf>
    <xf numFmtId="0" fontId="0" fillId="0" borderId="0" xfId="0" applyAlignment="1">
      <alignment horizontal="center" vertical="top"/>
    </xf>
    <xf numFmtId="43" fontId="52" fillId="7" borderId="0" xfId="1" applyFont="1" applyFill="1" applyAlignment="1">
      <alignment vertical="center"/>
    </xf>
    <xf numFmtId="43" fontId="52" fillId="7" borderId="0" xfId="1" applyFont="1" applyFill="1" applyAlignment="1">
      <alignment horizontal="center" vertical="center"/>
    </xf>
    <xf numFmtId="49" fontId="52" fillId="7" borderId="0" xfId="20" applyNumberFormat="1" applyFont="1" applyFill="1" applyAlignment="1">
      <alignment vertical="center"/>
    </xf>
    <xf numFmtId="49" fontId="45" fillId="7" borderId="0" xfId="4" applyNumberFormat="1" applyFont="1" applyFill="1" applyAlignment="1">
      <alignment vertical="center"/>
    </xf>
    <xf numFmtId="0" fontId="34" fillId="7" borderId="0" xfId="4" applyFont="1" applyFill="1"/>
    <xf numFmtId="0" fontId="31" fillId="7" borderId="0" xfId="4" applyFont="1" applyFill="1" applyAlignment="1">
      <alignment horizontal="left"/>
    </xf>
    <xf numFmtId="49" fontId="31" fillId="7" borderId="0" xfId="4" applyNumberFormat="1" applyFont="1" applyFill="1" applyAlignment="1">
      <alignment horizontal="left"/>
    </xf>
    <xf numFmtId="4" fontId="31" fillId="7" borderId="0" xfId="4" applyNumberFormat="1" applyFont="1" applyFill="1"/>
    <xf numFmtId="49" fontId="31" fillId="7" borderId="0" xfId="4" applyNumberFormat="1" applyFont="1" applyFill="1" applyAlignment="1">
      <alignment horizontal="center"/>
    </xf>
    <xf numFmtId="43" fontId="31" fillId="7" borderId="0" xfId="1" applyFont="1" applyFill="1" applyAlignment="1"/>
    <xf numFmtId="49" fontId="31" fillId="7" borderId="0" xfId="4" applyNumberFormat="1" applyFont="1" applyFill="1"/>
    <xf numFmtId="164" fontId="31" fillId="7" borderId="0" xfId="20" applyFont="1" applyFill="1"/>
    <xf numFmtId="15" fontId="31" fillId="7" borderId="0" xfId="4" applyNumberFormat="1" applyFont="1" applyFill="1"/>
    <xf numFmtId="0" fontId="31" fillId="7" borderId="0" xfId="4" applyFont="1" applyFill="1"/>
    <xf numFmtId="0" fontId="31" fillId="0" borderId="54" xfId="4" applyFont="1" applyBorder="1"/>
    <xf numFmtId="49" fontId="31" fillId="0" borderId="54" xfId="4" applyNumberFormat="1" applyFont="1" applyBorder="1"/>
    <xf numFmtId="49" fontId="31" fillId="0" borderId="54" xfId="4" applyNumberFormat="1" applyFont="1" applyBorder="1" applyAlignment="1">
      <alignment horizontal="center"/>
    </xf>
    <xf numFmtId="0" fontId="31" fillId="0" borderId="0" xfId="4" applyFont="1"/>
    <xf numFmtId="0" fontId="31" fillId="0" borderId="0" xfId="4" applyFont="1" applyAlignment="1">
      <alignment horizontal="center"/>
    </xf>
    <xf numFmtId="49" fontId="34" fillId="0" borderId="0" xfId="4" applyNumberFormat="1" applyFont="1" applyAlignment="1">
      <alignment horizontal="left"/>
    </xf>
    <xf numFmtId="49" fontId="31" fillId="0" borderId="0" xfId="4" applyNumberFormat="1" applyFont="1"/>
    <xf numFmtId="4" fontId="31" fillId="0" borderId="0" xfId="20" applyNumberFormat="1" applyFont="1" applyFill="1" applyProtection="1"/>
    <xf numFmtId="49" fontId="31" fillId="0" borderId="0" xfId="20" applyNumberFormat="1" applyFont="1" applyFill="1" applyAlignment="1" applyProtection="1">
      <alignment horizontal="center"/>
    </xf>
    <xf numFmtId="43" fontId="31" fillId="0" borderId="0" xfId="1" applyFont="1" applyAlignment="1"/>
    <xf numFmtId="49" fontId="31" fillId="0" borderId="0" xfId="4" applyNumberFormat="1" applyFont="1" applyAlignment="1">
      <alignment horizontal="center"/>
    </xf>
    <xf numFmtId="0" fontId="45" fillId="7" borderId="0" xfId="4" applyFont="1" applyFill="1" applyAlignment="1">
      <alignment vertical="center"/>
    </xf>
    <xf numFmtId="0" fontId="31" fillId="0" borderId="0" xfId="4" applyFont="1" applyAlignment="1">
      <alignment horizontal="left"/>
    </xf>
    <xf numFmtId="49" fontId="56" fillId="7" borderId="0" xfId="4" applyNumberFormat="1" applyFont="1" applyFill="1" applyAlignment="1">
      <alignment horizontal="left"/>
    </xf>
    <xf numFmtId="4" fontId="56" fillId="7" borderId="0" xfId="4" applyNumberFormat="1" applyFont="1" applyFill="1"/>
    <xf numFmtId="49" fontId="56" fillId="7" borderId="0" xfId="4" applyNumberFormat="1" applyFont="1" applyFill="1"/>
    <xf numFmtId="49" fontId="56" fillId="7" borderId="0" xfId="4" applyNumberFormat="1" applyFont="1" applyFill="1" applyAlignment="1">
      <alignment horizontal="center"/>
    </xf>
    <xf numFmtId="0" fontId="56" fillId="7" borderId="0" xfId="4" applyFont="1" applyFill="1"/>
    <xf numFmtId="0" fontId="39" fillId="2" borderId="19" xfId="4" applyFont="1" applyFill="1" applyBorder="1" applyAlignment="1">
      <alignment horizontal="center" vertical="top" wrapText="1"/>
    </xf>
    <xf numFmtId="0" fontId="34" fillId="0" borderId="0" xfId="4" applyFont="1" applyAlignment="1">
      <alignment horizontal="center" vertical="top" wrapText="1"/>
    </xf>
    <xf numFmtId="49" fontId="39" fillId="2" borderId="19" xfId="4" applyNumberFormat="1" applyFont="1" applyFill="1" applyBorder="1" applyAlignment="1">
      <alignment horizontal="center" vertical="top" wrapText="1"/>
    </xf>
    <xf numFmtId="4" fontId="39" fillId="2" borderId="19" xfId="4" applyNumberFormat="1" applyFont="1" applyFill="1" applyBorder="1" applyAlignment="1">
      <alignment horizontal="center" vertical="top" wrapText="1"/>
    </xf>
    <xf numFmtId="2" fontId="39" fillId="2" borderId="19" xfId="1" applyNumberFormat="1" applyFont="1" applyFill="1" applyBorder="1" applyAlignment="1">
      <alignment horizontal="center" vertical="top" wrapText="1"/>
    </xf>
    <xf numFmtId="0" fontId="2" fillId="2" borderId="95" xfId="0" applyFont="1" applyFill="1" applyBorder="1" applyAlignment="1">
      <alignment horizontal="centerContinuous" vertical="center"/>
    </xf>
    <xf numFmtId="0" fontId="2" fillId="2" borderId="96" xfId="0" applyFont="1" applyFill="1" applyBorder="1" applyAlignment="1">
      <alignment horizontal="centerContinuous" vertical="center"/>
    </xf>
    <xf numFmtId="0" fontId="2" fillId="2" borderId="97" xfId="0" applyFont="1" applyFill="1" applyBorder="1" applyAlignment="1">
      <alignment horizontal="centerContinuous" vertical="center"/>
    </xf>
    <xf numFmtId="0" fontId="2" fillId="2" borderId="96" xfId="0" applyFont="1" applyFill="1" applyBorder="1" applyAlignment="1">
      <alignment horizontal="center" vertical="center"/>
    </xf>
    <xf numFmtId="0" fontId="31" fillId="0" borderId="54" xfId="4" applyFont="1" applyBorder="1" applyAlignment="1">
      <alignment horizontal="center"/>
    </xf>
    <xf numFmtId="14" fontId="34" fillId="7" borderId="0" xfId="4" applyNumberFormat="1" applyFont="1" applyFill="1"/>
    <xf numFmtId="14" fontId="34" fillId="0" borderId="0" xfId="4" applyNumberFormat="1" applyFont="1" applyAlignment="1">
      <alignment horizontal="left"/>
    </xf>
    <xf numFmtId="0" fontId="4" fillId="4" borderId="0" xfId="1" applyNumberFormat="1" applyFont="1" applyFill="1" applyBorder="1" applyAlignment="1">
      <alignment horizontal="center" vertical="center"/>
    </xf>
    <xf numFmtId="0" fontId="38" fillId="0" borderId="0" xfId="0" applyFont="1" applyAlignment="1">
      <alignment horizontal="right" vertical="center" wrapText="1"/>
    </xf>
    <xf numFmtId="0" fontId="36" fillId="0" borderId="0" xfId="0" applyFont="1" applyAlignment="1">
      <alignment horizontal="right"/>
    </xf>
    <xf numFmtId="0" fontId="34" fillId="0" borderId="0" xfId="0" applyFont="1" applyAlignment="1">
      <alignment horizontal="center" vertical="center"/>
    </xf>
    <xf numFmtId="0" fontId="31" fillId="0" borderId="0" xfId="0" applyFont="1" applyAlignment="1">
      <alignment horizontal="center" vertical="top"/>
    </xf>
    <xf numFmtId="0" fontId="36" fillId="0" borderId="0" xfId="0" applyFont="1" applyAlignment="1">
      <alignment horizontal="center" vertical="top"/>
    </xf>
    <xf numFmtId="43" fontId="42" fillId="0" borderId="0" xfId="1" applyFont="1" applyBorder="1" applyAlignment="1">
      <alignment horizontal="centerContinuous" vertical="center"/>
    </xf>
    <xf numFmtId="0" fontId="36" fillId="0" borderId="98" xfId="0" applyFont="1" applyBorder="1" applyAlignment="1">
      <alignment horizontal="center" vertical="center"/>
    </xf>
    <xf numFmtId="0" fontId="38" fillId="0" borderId="98" xfId="0" applyFont="1" applyBorder="1" applyAlignment="1">
      <alignment horizontal="center" vertical="center" wrapText="1"/>
    </xf>
    <xf numFmtId="164" fontId="31" fillId="0" borderId="0" xfId="1" applyNumberFormat="1" applyFont="1" applyBorder="1"/>
    <xf numFmtId="164" fontId="38" fillId="0" borderId="0" xfId="1" applyNumberFormat="1" applyFont="1" applyBorder="1" applyAlignment="1">
      <alignment horizontal="center" vertical="center" wrapText="1"/>
    </xf>
    <xf numFmtId="0" fontId="34" fillId="0" borderId="98" xfId="0" applyFont="1" applyBorder="1" applyAlignment="1">
      <alignment vertical="center"/>
    </xf>
    <xf numFmtId="0" fontId="31" fillId="0" borderId="98" xfId="0" applyFont="1" applyBorder="1" applyAlignment="1">
      <alignment vertical="top"/>
    </xf>
    <xf numFmtId="43" fontId="39" fillId="2" borderId="48" xfId="1" applyFont="1" applyFill="1" applyBorder="1" applyAlignment="1">
      <alignment horizontal="center" vertical="top" wrapText="1"/>
    </xf>
    <xf numFmtId="49" fontId="36" fillId="0" borderId="0" xfId="1" applyNumberFormat="1" applyFont="1"/>
    <xf numFmtId="0" fontId="4" fillId="0" borderId="13" xfId="4" quotePrefix="1" applyBorder="1"/>
    <xf numFmtId="0" fontId="5" fillId="0" borderId="0" xfId="4" applyFont="1" applyAlignment="1">
      <alignment horizontal="center" vertical="center"/>
    </xf>
    <xf numFmtId="0" fontId="4" fillId="0" borderId="4" xfId="4" applyBorder="1"/>
    <xf numFmtId="17" fontId="4" fillId="0" borderId="4" xfId="4" applyNumberFormat="1" applyBorder="1"/>
    <xf numFmtId="0" fontId="4" fillId="0" borderId="4" xfId="19" applyBorder="1"/>
    <xf numFmtId="43" fontId="0" fillId="0" borderId="4" xfId="18" applyFont="1" applyBorder="1"/>
    <xf numFmtId="0" fontId="0" fillId="0" borderId="4" xfId="0" applyBorder="1"/>
    <xf numFmtId="0" fontId="50" fillId="0" borderId="0" xfId="4" applyFont="1" applyAlignment="1">
      <alignment horizontal="center" vertical="center" wrapText="1"/>
    </xf>
    <xf numFmtId="43" fontId="5" fillId="0" borderId="104" xfId="4" applyNumberFormat="1" applyFont="1" applyBorder="1"/>
    <xf numFmtId="0" fontId="5" fillId="0" borderId="0" xfId="4" applyFont="1" applyAlignment="1">
      <alignment vertical="top"/>
    </xf>
    <xf numFmtId="43" fontId="5" fillId="0" borderId="0" xfId="1" applyFont="1"/>
    <xf numFmtId="0" fontId="5" fillId="0" borderId="4" xfId="4" applyFont="1" applyBorder="1"/>
    <xf numFmtId="43" fontId="5" fillId="0" borderId="4" xfId="4" applyNumberFormat="1" applyFont="1" applyBorder="1"/>
    <xf numFmtId="4" fontId="60" fillId="9" borderId="45" xfId="23" applyNumberFormat="1" applyFont="1" applyFill="1" applyBorder="1" applyAlignment="1">
      <alignment horizontal="center"/>
    </xf>
    <xf numFmtId="4" fontId="60" fillId="9" borderId="44" xfId="23" applyNumberFormat="1" applyFont="1" applyFill="1" applyBorder="1"/>
    <xf numFmtId="9" fontId="60" fillId="9" borderId="45" xfId="24" applyFont="1" applyFill="1" applyBorder="1" applyAlignment="1">
      <alignment horizontal="center"/>
    </xf>
    <xf numFmtId="4" fontId="60" fillId="9" borderId="54" xfId="23" applyNumberFormat="1" applyFont="1" applyFill="1" applyBorder="1" applyAlignment="1">
      <alignment horizontal="center"/>
    </xf>
    <xf numFmtId="4" fontId="60" fillId="9" borderId="51" xfId="23" applyNumberFormat="1" applyFont="1" applyFill="1" applyBorder="1"/>
    <xf numFmtId="10" fontId="60" fillId="9" borderId="54" xfId="24" applyNumberFormat="1" applyFont="1" applyFill="1" applyBorder="1" applyAlignment="1">
      <alignment horizontal="center"/>
    </xf>
    <xf numFmtId="49" fontId="42" fillId="0" borderId="99" xfId="0" quotePrefix="1" applyNumberFormat="1" applyFont="1" applyBorder="1" applyAlignment="1">
      <alignment horizontal="left" vertical="center"/>
    </xf>
    <xf numFmtId="49" fontId="31" fillId="0" borderId="0" xfId="1" applyNumberFormat="1" applyFont="1" applyAlignment="1">
      <alignment horizontal="center"/>
    </xf>
    <xf numFmtId="0" fontId="16" fillId="0" borderId="16" xfId="4" applyFont="1" applyBorder="1"/>
    <xf numFmtId="0" fontId="16" fillId="0" borderId="57" xfId="4" applyFont="1" applyBorder="1"/>
    <xf numFmtId="0" fontId="16" fillId="0" borderId="16" xfId="4" applyFont="1" applyBorder="1" applyAlignment="1">
      <alignment vertical="center"/>
    </xf>
    <xf numFmtId="0" fontId="16" fillId="0" borderId="57" xfId="4" applyFont="1" applyBorder="1" applyAlignment="1">
      <alignment vertical="center"/>
    </xf>
    <xf numFmtId="49" fontId="16" fillId="0" borderId="16" xfId="4" applyNumberFormat="1" applyFont="1" applyBorder="1" applyAlignment="1">
      <alignment vertical="center"/>
    </xf>
    <xf numFmtId="49" fontId="16" fillId="0" borderId="57" xfId="4" applyNumberFormat="1" applyFont="1" applyBorder="1" applyAlignment="1">
      <alignment vertical="center"/>
    </xf>
    <xf numFmtId="49" fontId="14" fillId="0" borderId="16" xfId="4" applyNumberFormat="1" applyFont="1" applyBorder="1" applyAlignment="1">
      <alignment vertical="center"/>
    </xf>
    <xf numFmtId="49" fontId="14" fillId="0" borderId="57" xfId="4" applyNumberFormat="1" applyFont="1" applyBorder="1" applyAlignment="1">
      <alignment vertical="center"/>
    </xf>
    <xf numFmtId="49" fontId="8" fillId="0" borderId="15" xfId="4" applyNumberFormat="1" applyFont="1" applyBorder="1" applyAlignment="1">
      <alignment vertical="center"/>
    </xf>
    <xf numFmtId="49" fontId="8" fillId="0" borderId="16" xfId="4" applyNumberFormat="1" applyFont="1" applyBorder="1" applyAlignment="1">
      <alignment vertical="center"/>
    </xf>
    <xf numFmtId="49" fontId="8" fillId="0" borderId="57" xfId="4" applyNumberFormat="1" applyFont="1" applyBorder="1" applyAlignment="1">
      <alignment vertical="center"/>
    </xf>
    <xf numFmtId="2" fontId="8" fillId="0" borderId="57" xfId="4" applyNumberFormat="1" applyFont="1" applyBorder="1" applyAlignment="1">
      <alignment horizontal="right"/>
    </xf>
    <xf numFmtId="2" fontId="8" fillId="0" borderId="13" xfId="4" applyNumberFormat="1" applyFont="1" applyBorder="1" applyAlignment="1">
      <alignment horizontal="right"/>
    </xf>
    <xf numFmtId="49" fontId="8" fillId="0" borderId="16" xfId="4" applyNumberFormat="1" applyFont="1" applyBorder="1" applyAlignment="1">
      <alignment horizontal="left" vertical="top"/>
    </xf>
    <xf numFmtId="49" fontId="8" fillId="0" borderId="13" xfId="4" applyNumberFormat="1" applyFont="1" applyBorder="1" applyAlignment="1">
      <alignment horizontal="left" vertical="top"/>
    </xf>
    <xf numFmtId="170" fontId="31" fillId="0" borderId="0" xfId="0" applyNumberFormat="1" applyFont="1"/>
    <xf numFmtId="170" fontId="38" fillId="0" borderId="0" xfId="0" applyNumberFormat="1" applyFont="1" applyAlignment="1">
      <alignment horizontal="center" vertical="center" wrapText="1"/>
    </xf>
    <xf numFmtId="170" fontId="36" fillId="0" borderId="0" xfId="0" applyNumberFormat="1" applyFont="1"/>
    <xf numFmtId="43" fontId="5" fillId="0" borderId="54" xfId="4" applyNumberFormat="1" applyFont="1" applyBorder="1"/>
    <xf numFmtId="43" fontId="4" fillId="0" borderId="54" xfId="4" applyNumberFormat="1" applyBorder="1"/>
    <xf numFmtId="43" fontId="34" fillId="21" borderId="54" xfId="1" applyFont="1" applyFill="1" applyBorder="1" applyAlignment="1">
      <alignment horizontal="center" vertical="center"/>
    </xf>
    <xf numFmtId="43" fontId="39" fillId="2" borderId="54" xfId="1" applyFont="1" applyFill="1" applyBorder="1" applyAlignment="1">
      <alignment vertical="center" wrapText="1"/>
    </xf>
    <xf numFmtId="49" fontId="57" fillId="16" borderId="48" xfId="0" applyNumberFormat="1" applyFont="1" applyFill="1" applyBorder="1" applyAlignment="1">
      <alignment horizontal="center" vertical="top" wrapText="1"/>
    </xf>
    <xf numFmtId="43" fontId="57" fillId="16" borderId="48" xfId="1" applyFont="1" applyFill="1" applyBorder="1" applyAlignment="1">
      <alignment horizontal="center" vertical="top" wrapText="1"/>
    </xf>
    <xf numFmtId="49" fontId="34" fillId="16" borderId="48" xfId="0" applyNumberFormat="1" applyFont="1" applyFill="1" applyBorder="1" applyAlignment="1">
      <alignment horizontal="center" vertical="top" wrapText="1"/>
    </xf>
    <xf numFmtId="43" fontId="34" fillId="21" borderId="54" xfId="1" applyFont="1" applyFill="1" applyBorder="1" applyAlignment="1">
      <alignment vertical="center"/>
    </xf>
    <xf numFmtId="49" fontId="57" fillId="16" borderId="48" xfId="1" applyNumberFormat="1" applyFont="1" applyFill="1" applyBorder="1" applyAlignment="1">
      <alignment horizontal="center" vertical="top" wrapText="1"/>
    </xf>
    <xf numFmtId="164" fontId="42" fillId="0" borderId="99" xfId="1" quotePrefix="1" applyNumberFormat="1" applyFont="1" applyBorder="1" applyAlignment="1">
      <alignment horizontal="centerContinuous" vertical="center"/>
    </xf>
    <xf numFmtId="49" fontId="42" fillId="0" borderId="99" xfId="0" applyNumberFormat="1" applyFont="1" applyBorder="1" applyAlignment="1">
      <alignment horizontal="centerContinuous" vertical="center"/>
    </xf>
    <xf numFmtId="0" fontId="42" fillId="0" borderId="100" xfId="0" applyFont="1" applyBorder="1" applyAlignment="1">
      <alignment horizontal="centerContinuous" vertical="center"/>
    </xf>
    <xf numFmtId="49" fontId="42" fillId="0" borderId="0" xfId="0" applyNumberFormat="1" applyFont="1" applyAlignment="1">
      <alignment horizontal="center" vertical="center"/>
    </xf>
    <xf numFmtId="49" fontId="42" fillId="0" borderId="0" xfId="0" applyNumberFormat="1" applyFont="1" applyAlignment="1">
      <alignment vertical="center"/>
    </xf>
    <xf numFmtId="43" fontId="42" fillId="0" borderId="99" xfId="1" quotePrefix="1" applyFont="1" applyBorder="1" applyAlignment="1">
      <alignment horizontal="centerContinuous" vertical="center"/>
    </xf>
    <xf numFmtId="43" fontId="42" fillId="0" borderId="100" xfId="1" applyFont="1" applyBorder="1" applyAlignment="1">
      <alignment horizontal="centerContinuous" vertical="center"/>
    </xf>
    <xf numFmtId="49" fontId="42" fillId="0" borderId="0" xfId="0" applyNumberFormat="1" applyFont="1" applyAlignment="1">
      <alignment horizontal="centerContinuous" vertical="center"/>
    </xf>
    <xf numFmtId="164" fontId="42" fillId="0" borderId="0" xfId="1" applyNumberFormat="1" applyFont="1" applyBorder="1" applyAlignment="1">
      <alignment vertical="center"/>
    </xf>
    <xf numFmtId="49" fontId="34" fillId="0" borderId="0" xfId="0" applyNumberFormat="1" applyFont="1" applyAlignment="1">
      <alignment vertical="center"/>
    </xf>
    <xf numFmtId="1" fontId="42" fillId="0" borderId="99" xfId="0" quotePrefix="1" applyNumberFormat="1" applyFont="1" applyBorder="1" applyAlignment="1">
      <alignment horizontal="centerContinuous" vertical="center"/>
    </xf>
    <xf numFmtId="1" fontId="42" fillId="0" borderId="0" xfId="1" applyNumberFormat="1" applyFont="1" applyBorder="1" applyAlignment="1">
      <alignment horizontal="centerContinuous" vertical="center"/>
    </xf>
    <xf numFmtId="49" fontId="42" fillId="0" borderId="0" xfId="1" applyNumberFormat="1" applyFont="1" applyBorder="1" applyAlignment="1">
      <alignment horizontal="centerContinuous" vertical="center"/>
    </xf>
    <xf numFmtId="164" fontId="42" fillId="0" borderId="100" xfId="1" applyNumberFormat="1" applyFont="1" applyBorder="1" applyAlignment="1">
      <alignment horizontal="centerContinuous" vertical="center"/>
    </xf>
    <xf numFmtId="0" fontId="42" fillId="0" borderId="0" xfId="0" applyFont="1" applyAlignment="1">
      <alignment horizontal="center" vertical="center"/>
    </xf>
    <xf numFmtId="43" fontId="42" fillId="0" borderId="0" xfId="1" applyFont="1" applyAlignment="1">
      <alignment vertical="center"/>
    </xf>
    <xf numFmtId="49" fontId="34" fillId="0" borderId="0" xfId="0" applyNumberFormat="1" applyFont="1" applyAlignment="1">
      <alignment horizontal="center" vertical="center"/>
    </xf>
    <xf numFmtId="49" fontId="34" fillId="0" borderId="0" xfId="0" applyNumberFormat="1" applyFont="1" applyAlignment="1">
      <alignment horizontal="center"/>
    </xf>
    <xf numFmtId="1" fontId="34" fillId="0" borderId="0" xfId="0" applyNumberFormat="1" applyFont="1" applyAlignment="1">
      <alignment vertical="center"/>
    </xf>
    <xf numFmtId="0" fontId="42" fillId="0" borderId="0" xfId="0" applyFont="1" applyAlignment="1">
      <alignment vertical="center"/>
    </xf>
    <xf numFmtId="164" fontId="42" fillId="0" borderId="0" xfId="1" applyNumberFormat="1" applyFont="1" applyAlignment="1">
      <alignment vertical="center"/>
    </xf>
    <xf numFmtId="0" fontId="63" fillId="0" borderId="0" xfId="0" applyFont="1" applyAlignment="1">
      <alignment vertical="center"/>
    </xf>
    <xf numFmtId="49" fontId="42" fillId="0" borderId="100" xfId="0" applyNumberFormat="1" applyFont="1" applyBorder="1" applyAlignment="1">
      <alignment horizontal="centerContinuous" vertical="center"/>
    </xf>
    <xf numFmtId="49" fontId="42" fillId="0" borderId="102" xfId="0" applyNumberFormat="1" applyFont="1" applyBorder="1" applyAlignment="1">
      <alignment horizontal="center" vertical="center"/>
    </xf>
    <xf numFmtId="49" fontId="42" fillId="0" borderId="13" xfId="0" applyNumberFormat="1" applyFont="1" applyBorder="1" applyAlignment="1">
      <alignment horizontal="centerContinuous" vertical="center"/>
    </xf>
    <xf numFmtId="14" fontId="42" fillId="0" borderId="0" xfId="0" applyNumberFormat="1" applyFont="1" applyAlignment="1">
      <alignment horizontal="centerContinuous" vertical="center"/>
    </xf>
    <xf numFmtId="14" fontId="42" fillId="0" borderId="100" xfId="0" applyNumberFormat="1" applyFont="1" applyBorder="1" applyAlignment="1">
      <alignment horizontal="centerContinuous" vertical="center"/>
    </xf>
    <xf numFmtId="0" fontId="63" fillId="0" borderId="0" xfId="0" applyFont="1" applyAlignment="1">
      <alignment horizontal="centerContinuous" vertical="center"/>
    </xf>
    <xf numFmtId="49" fontId="63" fillId="0" borderId="99" xfId="0" quotePrefix="1" applyNumberFormat="1" applyFont="1" applyBorder="1" applyAlignment="1">
      <alignment horizontal="centerContinuous" vertical="center"/>
    </xf>
    <xf numFmtId="49" fontId="63" fillId="0" borderId="0" xfId="0" applyNumberFormat="1" applyFont="1" applyAlignment="1">
      <alignment horizontal="centerContinuous" vertical="center"/>
    </xf>
    <xf numFmtId="0" fontId="63" fillId="0" borderId="101" xfId="0" applyFont="1" applyBorder="1" applyAlignment="1">
      <alignment vertical="center"/>
    </xf>
    <xf numFmtId="49" fontId="42" fillId="0" borderId="99" xfId="0" quotePrefix="1" applyNumberFormat="1" applyFont="1" applyBorder="1" applyAlignment="1">
      <alignment horizontal="centerContinuous" vertical="center"/>
    </xf>
    <xf numFmtId="170" fontId="42" fillId="0" borderId="0" xfId="0" applyNumberFormat="1" applyFont="1" applyAlignment="1">
      <alignment horizontal="centerContinuous" vertical="center"/>
    </xf>
    <xf numFmtId="0" fontId="42" fillId="0" borderId="99" xfId="0" quotePrefix="1" applyFont="1" applyBorder="1" applyAlignment="1">
      <alignment horizontal="centerContinuous" vertical="center"/>
    </xf>
    <xf numFmtId="10" fontId="42" fillId="0" borderId="0" xfId="2" applyNumberFormat="1" applyFont="1" applyBorder="1" applyAlignment="1">
      <alignment horizontal="centerContinuous" vertical="center"/>
    </xf>
    <xf numFmtId="14" fontId="42" fillId="0" borderId="99" xfId="0" quotePrefix="1" applyNumberFormat="1" applyFont="1" applyBorder="1" applyAlignment="1">
      <alignment horizontal="centerContinuous" vertical="center"/>
    </xf>
    <xf numFmtId="14" fontId="42" fillId="0" borderId="0" xfId="0" quotePrefix="1" applyNumberFormat="1" applyFont="1" applyAlignment="1">
      <alignment horizontal="centerContinuous" vertical="center"/>
    </xf>
    <xf numFmtId="0" fontId="42" fillId="0" borderId="100" xfId="0" quotePrefix="1" applyFont="1" applyBorder="1" applyAlignment="1">
      <alignment horizontal="centerContinuous" vertical="center"/>
    </xf>
    <xf numFmtId="43" fontId="42" fillId="0" borderId="99" xfId="1" quotePrefix="1" applyFont="1" applyBorder="1" applyAlignment="1">
      <alignment vertical="center"/>
    </xf>
    <xf numFmtId="43" fontId="42" fillId="0" borderId="100" xfId="1" applyFont="1" applyBorder="1" applyAlignment="1">
      <alignment vertical="center"/>
    </xf>
    <xf numFmtId="43" fontId="42" fillId="0" borderId="100" xfId="1" applyFont="1" applyBorder="1" applyAlignment="1">
      <alignment horizontal="center" vertical="center"/>
    </xf>
    <xf numFmtId="0" fontId="42" fillId="0" borderId="102" xfId="0" quotePrefix="1" applyFont="1" applyBorder="1" applyAlignment="1">
      <alignment horizontal="centerContinuous" vertical="center"/>
    </xf>
    <xf numFmtId="0" fontId="42" fillId="0" borderId="13" xfId="0" applyFont="1" applyBorder="1" applyAlignment="1">
      <alignment horizontal="centerContinuous" vertical="center"/>
    </xf>
    <xf numFmtId="0" fontId="42" fillId="0" borderId="103" xfId="0" applyFont="1" applyBorder="1" applyAlignment="1">
      <alignment horizontal="centerContinuous" vertical="center"/>
    </xf>
    <xf numFmtId="0" fontId="64" fillId="0" borderId="0" xfId="0" applyFont="1" applyAlignment="1">
      <alignment horizontal="center" vertical="center" wrapText="1"/>
    </xf>
    <xf numFmtId="43" fontId="42" fillId="0" borderId="0" xfId="1" applyFont="1" applyAlignment="1">
      <alignment horizontal="center" vertical="center"/>
    </xf>
    <xf numFmtId="1" fontId="42" fillId="0" borderId="0" xfId="0" applyNumberFormat="1" applyFont="1" applyAlignment="1">
      <alignment horizontal="centerContinuous" vertical="center"/>
    </xf>
    <xf numFmtId="164" fontId="42" fillId="0" borderId="102" xfId="1" quotePrefix="1" applyNumberFormat="1" applyFont="1" applyBorder="1" applyAlignment="1">
      <alignment horizontal="center" vertical="center"/>
    </xf>
    <xf numFmtId="49" fontId="42" fillId="0" borderId="13" xfId="1" applyNumberFormat="1" applyFont="1" applyBorder="1" applyAlignment="1">
      <alignment horizontal="center" vertical="center"/>
    </xf>
    <xf numFmtId="49" fontId="42" fillId="0" borderId="103" xfId="1" applyNumberFormat="1" applyFont="1" applyBorder="1" applyAlignment="1">
      <alignment horizontal="center" vertical="center"/>
    </xf>
    <xf numFmtId="14" fontId="31" fillId="0" borderId="0" xfId="1" applyNumberFormat="1" applyFont="1"/>
    <xf numFmtId="43" fontId="39" fillId="2" borderId="45" xfId="1" applyFont="1" applyFill="1" applyBorder="1" applyAlignment="1">
      <alignment vertical="center" wrapText="1"/>
    </xf>
    <xf numFmtId="0" fontId="42" fillId="0" borderId="0" xfId="0" applyFont="1" applyAlignment="1">
      <alignment horizontal="centerContinuous" vertical="center"/>
    </xf>
    <xf numFmtId="43" fontId="34" fillId="0" borderId="0" xfId="1" applyFont="1" applyAlignment="1">
      <alignment horizontal="center" vertical="center"/>
    </xf>
    <xf numFmtId="14" fontId="34" fillId="0" borderId="0" xfId="0" applyNumberFormat="1" applyFont="1" applyAlignment="1">
      <alignment horizontal="center" vertical="center"/>
    </xf>
    <xf numFmtId="0" fontId="57" fillId="0" borderId="0" xfId="0" applyFont="1" applyAlignment="1">
      <alignment horizontal="center" vertical="center"/>
    </xf>
    <xf numFmtId="49" fontId="42" fillId="0" borderId="0" xfId="1" applyNumberFormat="1" applyFont="1" applyAlignment="1">
      <alignment horizontal="center" vertical="center"/>
    </xf>
    <xf numFmtId="49" fontId="34" fillId="0" borderId="0" xfId="1" applyNumberFormat="1" applyFont="1"/>
    <xf numFmtId="49" fontId="34" fillId="0" borderId="0" xfId="1" applyNumberFormat="1" applyFont="1" applyAlignment="1">
      <alignment horizontal="center"/>
    </xf>
    <xf numFmtId="49" fontId="34" fillId="0" borderId="0" xfId="0" applyNumberFormat="1" applyFont="1" applyAlignment="1">
      <alignment horizontal="centerContinuous" vertical="center"/>
    </xf>
    <xf numFmtId="43" fontId="34" fillId="0" borderId="0" xfId="1" applyFont="1" applyAlignment="1">
      <alignment horizontal="centerContinuous" vertical="center"/>
    </xf>
    <xf numFmtId="0" fontId="31" fillId="0" borderId="0" xfId="0" applyFont="1" applyAlignment="1">
      <alignment vertical="center"/>
    </xf>
    <xf numFmtId="49" fontId="34" fillId="7" borderId="0" xfId="4" applyNumberFormat="1" applyFont="1" applyFill="1"/>
    <xf numFmtId="49" fontId="45" fillId="7" borderId="0" xfId="4" applyNumberFormat="1" applyFont="1" applyFill="1"/>
    <xf numFmtId="49" fontId="56" fillId="7" borderId="0" xfId="1" applyNumberFormat="1" applyFont="1" applyFill="1" applyAlignment="1"/>
    <xf numFmtId="49" fontId="31" fillId="7" borderId="0" xfId="1" applyNumberFormat="1" applyFont="1" applyFill="1" applyAlignment="1"/>
    <xf numFmtId="49" fontId="0" fillId="0" borderId="54" xfId="0" applyNumberFormat="1" applyBorder="1"/>
    <xf numFmtId="0" fontId="5" fillId="16" borderId="0" xfId="1" applyNumberFormat="1" applyFont="1" applyFill="1" applyBorder="1" applyAlignment="1">
      <alignment horizontal="center" vertical="center"/>
    </xf>
    <xf numFmtId="0" fontId="5" fillId="21" borderId="7" xfId="1" applyNumberFormat="1" applyFont="1" applyFill="1" applyBorder="1" applyAlignment="1">
      <alignment horizontal="left" vertical="center"/>
    </xf>
    <xf numFmtId="49" fontId="5" fillId="21" borderId="0" xfId="17" applyNumberFormat="1" applyFont="1" applyFill="1" applyBorder="1" applyAlignment="1">
      <alignment vertical="center"/>
    </xf>
    <xf numFmtId="0" fontId="5" fillId="21" borderId="0" xfId="1" applyNumberFormat="1" applyFont="1" applyFill="1" applyBorder="1" applyAlignment="1">
      <alignment vertical="center"/>
    </xf>
    <xf numFmtId="0" fontId="5" fillId="21" borderId="0" xfId="1" applyNumberFormat="1" applyFont="1" applyFill="1" applyBorder="1" applyAlignment="1">
      <alignment horizontal="center" vertical="center"/>
    </xf>
    <xf numFmtId="0" fontId="5" fillId="21" borderId="2" xfId="1" applyNumberFormat="1" applyFont="1" applyFill="1" applyBorder="1" applyAlignment="1">
      <alignment vertical="center"/>
    </xf>
    <xf numFmtId="0" fontId="5" fillId="21" borderId="0" xfId="1" applyNumberFormat="1" applyFont="1" applyFill="1" applyBorder="1" applyAlignment="1">
      <alignment horizontal="left" vertical="center"/>
    </xf>
    <xf numFmtId="0" fontId="65" fillId="21" borderId="0" xfId="1" applyNumberFormat="1" applyFont="1" applyFill="1" applyBorder="1" applyAlignment="1">
      <alignment horizontal="center" vertical="center"/>
    </xf>
    <xf numFmtId="49" fontId="5" fillId="21" borderId="0" xfId="1" applyNumberFormat="1" applyFont="1" applyFill="1" applyBorder="1" applyAlignment="1">
      <alignment vertical="center"/>
    </xf>
    <xf numFmtId="0" fontId="5" fillId="21" borderId="4" xfId="1" applyNumberFormat="1" applyFont="1" applyFill="1" applyBorder="1" applyAlignment="1">
      <alignment vertical="center"/>
    </xf>
    <xf numFmtId="0" fontId="5" fillId="21" borderId="4" xfId="1" applyNumberFormat="1" applyFont="1" applyFill="1" applyBorder="1" applyAlignment="1">
      <alignment horizontal="center" vertical="center"/>
    </xf>
    <xf numFmtId="0" fontId="66" fillId="16" borderId="1" xfId="1" applyNumberFormat="1" applyFont="1" applyFill="1" applyBorder="1" applyAlignment="1">
      <alignment vertical="center"/>
    </xf>
    <xf numFmtId="0" fontId="66" fillId="16" borderId="0" xfId="1" applyNumberFormat="1" applyFont="1" applyFill="1" applyBorder="1" applyAlignment="1">
      <alignment vertical="center"/>
    </xf>
    <xf numFmtId="0" fontId="66" fillId="16" borderId="0" xfId="1" applyNumberFormat="1" applyFont="1" applyFill="1" applyBorder="1" applyAlignment="1">
      <alignment horizontal="center" vertical="center"/>
    </xf>
    <xf numFmtId="0" fontId="66" fillId="16" borderId="2" xfId="1" applyNumberFormat="1" applyFont="1" applyFill="1" applyBorder="1" applyAlignment="1">
      <alignment vertical="center"/>
    </xf>
    <xf numFmtId="49" fontId="5" fillId="21" borderId="0" xfId="1" applyNumberFormat="1" applyFont="1" applyFill="1" applyBorder="1" applyAlignment="1">
      <alignment horizontal="left" vertical="center"/>
    </xf>
    <xf numFmtId="0" fontId="4" fillId="21" borderId="0" xfId="1" applyNumberFormat="1" applyFont="1" applyFill="1" applyBorder="1" applyAlignment="1">
      <alignment vertical="center"/>
    </xf>
    <xf numFmtId="0" fontId="4" fillId="21" borderId="0" xfId="1" applyNumberFormat="1" applyFont="1" applyFill="1" applyBorder="1" applyAlignment="1">
      <alignment horizontal="center" vertical="center"/>
    </xf>
    <xf numFmtId="0" fontId="4" fillId="21" borderId="2" xfId="1" applyNumberFormat="1" applyFont="1" applyFill="1" applyBorder="1" applyAlignment="1">
      <alignment horizontal="center" vertical="center"/>
    </xf>
    <xf numFmtId="0" fontId="5" fillId="21" borderId="2" xfId="1" applyNumberFormat="1" applyFont="1" applyFill="1" applyBorder="1" applyAlignment="1">
      <alignment horizontal="center" vertical="center"/>
    </xf>
    <xf numFmtId="49" fontId="4" fillId="21" borderId="0" xfId="1" applyNumberFormat="1" applyFont="1" applyFill="1" applyBorder="1" applyAlignment="1">
      <alignment horizontal="center" vertical="center"/>
    </xf>
    <xf numFmtId="49" fontId="4" fillId="21" borderId="0" xfId="1" applyNumberFormat="1" applyFont="1" applyFill="1" applyBorder="1" applyAlignment="1">
      <alignment vertical="center"/>
    </xf>
    <xf numFmtId="49" fontId="4" fillId="21" borderId="2" xfId="1" applyNumberFormat="1" applyFont="1" applyFill="1" applyBorder="1" applyAlignment="1">
      <alignment horizontal="center" vertical="center"/>
    </xf>
    <xf numFmtId="49" fontId="4" fillId="21" borderId="0" xfId="17" applyNumberFormat="1" applyFont="1" applyFill="1" applyBorder="1" applyAlignment="1">
      <alignment vertical="center"/>
    </xf>
    <xf numFmtId="0" fontId="4" fillId="21" borderId="0" xfId="1" applyNumberFormat="1" applyFont="1" applyFill="1" applyBorder="1" applyAlignment="1">
      <alignment horizontal="left" vertical="center"/>
    </xf>
    <xf numFmtId="0" fontId="68" fillId="16" borderId="0" xfId="1" applyNumberFormat="1" applyFont="1" applyFill="1" applyBorder="1" applyAlignment="1">
      <alignment vertical="center"/>
    </xf>
    <xf numFmtId="0" fontId="4" fillId="21" borderId="7" xfId="1" applyNumberFormat="1" applyFont="1" applyFill="1" applyBorder="1" applyAlignment="1">
      <alignment horizontal="left" vertical="center"/>
    </xf>
    <xf numFmtId="0" fontId="4" fillId="21" borderId="4" xfId="1" applyNumberFormat="1" applyFont="1" applyFill="1" applyBorder="1" applyAlignment="1">
      <alignment vertical="center"/>
    </xf>
    <xf numFmtId="49" fontId="4" fillId="21" borderId="7" xfId="17" applyNumberFormat="1" applyFont="1" applyFill="1" applyBorder="1" applyAlignment="1">
      <alignment vertical="center"/>
    </xf>
    <xf numFmtId="49" fontId="69" fillId="21" borderId="7" xfId="17" applyNumberFormat="1" applyFont="1" applyFill="1" applyBorder="1" applyAlignment="1">
      <alignment horizontal="center" vertical="center"/>
    </xf>
    <xf numFmtId="49" fontId="4" fillId="21" borderId="8" xfId="17" applyNumberFormat="1" applyFont="1" applyFill="1" applyBorder="1" applyAlignment="1">
      <alignment vertical="center"/>
    </xf>
    <xf numFmtId="0" fontId="69" fillId="21" borderId="0" xfId="1" applyNumberFormat="1" applyFont="1" applyFill="1" applyBorder="1" applyAlignment="1">
      <alignment horizontal="center" vertical="center"/>
    </xf>
    <xf numFmtId="0" fontId="4" fillId="21" borderId="2" xfId="1" applyNumberFormat="1" applyFont="1" applyFill="1" applyBorder="1" applyAlignment="1">
      <alignment vertical="center"/>
    </xf>
    <xf numFmtId="0" fontId="71" fillId="22" borderId="107" xfId="23" applyFont="1" applyFill="1" applyBorder="1" applyAlignment="1">
      <alignment horizontal="center" vertical="center" wrapText="1"/>
    </xf>
    <xf numFmtId="0" fontId="4" fillId="21" borderId="2" xfId="1" applyNumberFormat="1" applyFont="1" applyFill="1" applyBorder="1" applyAlignment="1">
      <alignment horizontal="left" vertical="center"/>
    </xf>
    <xf numFmtId="0" fontId="4" fillId="21" borderId="4" xfId="1" applyNumberFormat="1" applyFont="1" applyFill="1" applyBorder="1" applyAlignment="1">
      <alignment horizontal="left" vertical="center"/>
    </xf>
    <xf numFmtId="0" fontId="69" fillId="21" borderId="4" xfId="1" applyNumberFormat="1" applyFont="1" applyFill="1" applyBorder="1" applyAlignment="1">
      <alignment horizontal="center" vertical="center"/>
    </xf>
    <xf numFmtId="0" fontId="4" fillId="21" borderId="5" xfId="1" applyNumberFormat="1" applyFont="1" applyFill="1" applyBorder="1" applyAlignment="1">
      <alignment horizontal="left" vertical="center"/>
    </xf>
    <xf numFmtId="49" fontId="4" fillId="21" borderId="2" xfId="1" applyNumberFormat="1" applyFont="1" applyFill="1" applyBorder="1" applyAlignment="1">
      <alignment vertical="center"/>
    </xf>
    <xf numFmtId="49" fontId="4" fillId="21" borderId="0" xfId="1" applyNumberFormat="1" applyFont="1" applyFill="1" applyBorder="1" applyAlignment="1">
      <alignment horizontal="left" vertical="center"/>
    </xf>
    <xf numFmtId="49" fontId="4" fillId="21" borderId="2" xfId="1" applyNumberFormat="1" applyFont="1" applyFill="1" applyBorder="1" applyAlignment="1">
      <alignment horizontal="left" vertical="center"/>
    </xf>
    <xf numFmtId="0" fontId="4" fillId="21" borderId="0" xfId="1" applyNumberFormat="1" applyFont="1" applyFill="1" applyBorder="1" applyAlignment="1">
      <alignment vertical="top" wrapText="1"/>
    </xf>
    <xf numFmtId="0" fontId="72" fillId="16" borderId="0" xfId="1" applyNumberFormat="1" applyFont="1" applyFill="1" applyBorder="1" applyAlignment="1">
      <alignment horizontal="center" vertical="center"/>
    </xf>
    <xf numFmtId="49" fontId="69" fillId="21" borderId="0" xfId="1" applyNumberFormat="1" applyFont="1" applyFill="1" applyBorder="1" applyAlignment="1">
      <alignment horizontal="center" vertical="center"/>
    </xf>
    <xf numFmtId="49" fontId="69" fillId="21" borderId="0" xfId="1" applyNumberFormat="1" applyFont="1" applyFill="1" applyBorder="1" applyAlignment="1">
      <alignment vertical="center"/>
    </xf>
    <xf numFmtId="49" fontId="73" fillId="21" borderId="0" xfId="22" applyNumberFormat="1" applyFont="1" applyFill="1" applyBorder="1" applyAlignment="1" applyProtection="1">
      <alignment vertical="center"/>
    </xf>
    <xf numFmtId="49" fontId="73" fillId="21" borderId="0" xfId="22" applyNumberFormat="1" applyFont="1" applyFill="1" applyBorder="1" applyAlignment="1">
      <alignment vertical="center"/>
    </xf>
    <xf numFmtId="49" fontId="4" fillId="21" borderId="2" xfId="17" applyNumberFormat="1" applyFont="1" applyFill="1" applyBorder="1" applyAlignment="1">
      <alignment vertical="center"/>
    </xf>
    <xf numFmtId="0" fontId="4" fillId="21" borderId="4" xfId="1" applyNumberFormat="1" applyFont="1" applyFill="1" applyBorder="1" applyAlignment="1">
      <alignment horizontal="center" vertical="center"/>
    </xf>
    <xf numFmtId="0" fontId="4" fillId="21" borderId="5" xfId="1" applyNumberFormat="1" applyFont="1" applyFill="1" applyBorder="1" applyAlignment="1">
      <alignment vertical="center"/>
    </xf>
    <xf numFmtId="0" fontId="5" fillId="21" borderId="5" xfId="1" applyNumberFormat="1" applyFont="1" applyFill="1" applyBorder="1" applyAlignment="1">
      <alignment vertical="center"/>
    </xf>
    <xf numFmtId="0" fontId="5" fillId="16" borderId="1" xfId="1" applyNumberFormat="1" applyFont="1" applyFill="1" applyBorder="1" applyAlignment="1">
      <alignment horizontal="center" vertical="center"/>
    </xf>
    <xf numFmtId="0" fontId="5" fillId="16" borderId="0" xfId="1" applyNumberFormat="1" applyFont="1" applyFill="1" applyBorder="1" applyAlignment="1">
      <alignment horizontal="center" vertical="center" wrapText="1"/>
    </xf>
    <xf numFmtId="0" fontId="5" fillId="16" borderId="2" xfId="1" applyNumberFormat="1" applyFont="1" applyFill="1" applyBorder="1" applyAlignment="1">
      <alignment horizontal="center" vertical="center"/>
    </xf>
    <xf numFmtId="0" fontId="65" fillId="16" borderId="0" xfId="1" applyNumberFormat="1" applyFont="1" applyFill="1" applyBorder="1" applyAlignment="1">
      <alignment horizontal="center" vertical="center"/>
    </xf>
    <xf numFmtId="0" fontId="4" fillId="4" borderId="0" xfId="1" applyNumberFormat="1" applyFont="1" applyFill="1" applyBorder="1" applyAlignment="1">
      <alignment horizontal="left" vertical="center"/>
    </xf>
    <xf numFmtId="0" fontId="4" fillId="4" borderId="2" xfId="1" applyNumberFormat="1" applyFont="1" applyFill="1" applyBorder="1" applyAlignment="1">
      <alignment horizontal="left" vertical="center"/>
    </xf>
    <xf numFmtId="0" fontId="74" fillId="0" borderId="0" xfId="0" applyFont="1" applyAlignment="1">
      <alignment horizontal="center" vertical="center"/>
    </xf>
    <xf numFmtId="0" fontId="3" fillId="3" borderId="108" xfId="0" applyFont="1" applyFill="1" applyBorder="1" applyAlignment="1">
      <alignment horizontal="center" vertical="center" wrapText="1"/>
    </xf>
    <xf numFmtId="0" fontId="3" fillId="3" borderId="109" xfId="0" applyFont="1" applyFill="1" applyBorder="1" applyAlignment="1">
      <alignment horizontal="center" vertical="center" wrapText="1"/>
    </xf>
    <xf numFmtId="0" fontId="3" fillId="3" borderId="110" xfId="0" applyFont="1" applyFill="1" applyBorder="1" applyAlignment="1">
      <alignment horizontal="center" vertical="center" wrapText="1"/>
    </xf>
    <xf numFmtId="2" fontId="5" fillId="21" borderId="0" xfId="1" applyNumberFormat="1" applyFont="1" applyFill="1" applyBorder="1" applyAlignment="1">
      <alignment vertical="center"/>
    </xf>
    <xf numFmtId="2" fontId="5" fillId="21" borderId="4" xfId="1" applyNumberFormat="1" applyFont="1" applyFill="1" applyBorder="1" applyAlignment="1">
      <alignment vertical="center"/>
    </xf>
    <xf numFmtId="49" fontId="5" fillId="21" borderId="4" xfId="1" applyNumberFormat="1" applyFont="1" applyFill="1" applyBorder="1" applyAlignment="1">
      <alignment vertical="center"/>
    </xf>
    <xf numFmtId="49" fontId="4" fillId="21" borderId="4" xfId="1" applyNumberFormat="1" applyFont="1" applyFill="1" applyBorder="1" applyAlignment="1">
      <alignment vertical="center"/>
    </xf>
    <xf numFmtId="49" fontId="4" fillId="21" borderId="5" xfId="1" applyNumberFormat="1" applyFont="1" applyFill="1" applyBorder="1" applyAlignment="1">
      <alignment vertical="center"/>
    </xf>
    <xf numFmtId="10" fontId="5" fillId="21" borderId="0" xfId="2" applyNumberFormat="1" applyFont="1" applyFill="1" applyBorder="1" applyAlignment="1">
      <alignment vertical="center"/>
    </xf>
    <xf numFmtId="10" fontId="5" fillId="21" borderId="4" xfId="2" applyNumberFormat="1" applyFont="1" applyFill="1" applyBorder="1" applyAlignment="1">
      <alignment vertical="center"/>
    </xf>
    <xf numFmtId="0" fontId="5" fillId="21" borderId="54" xfId="1" applyNumberFormat="1" applyFont="1" applyFill="1" applyBorder="1" applyAlignment="1">
      <alignment vertical="center"/>
    </xf>
    <xf numFmtId="0" fontId="5" fillId="21" borderId="16" xfId="1" applyNumberFormat="1" applyFont="1" applyFill="1" applyBorder="1" applyAlignment="1">
      <alignment vertical="center"/>
    </xf>
    <xf numFmtId="0" fontId="5" fillId="21" borderId="16" xfId="1" applyNumberFormat="1" applyFont="1" applyFill="1" applyBorder="1" applyAlignment="1">
      <alignment horizontal="center" vertical="center"/>
    </xf>
    <xf numFmtId="10" fontId="5" fillId="21" borderId="16" xfId="2" applyNumberFormat="1" applyFont="1" applyFill="1" applyBorder="1" applyAlignment="1">
      <alignment vertical="center"/>
    </xf>
    <xf numFmtId="0" fontId="5" fillId="21" borderId="17" xfId="1" applyNumberFormat="1" applyFont="1" applyFill="1" applyBorder="1" applyAlignment="1">
      <alignment vertical="center"/>
    </xf>
    <xf numFmtId="2" fontId="5" fillId="21" borderId="16" xfId="1" applyNumberFormat="1" applyFont="1" applyFill="1" applyBorder="1" applyAlignment="1">
      <alignment vertical="center"/>
    </xf>
    <xf numFmtId="0" fontId="5" fillId="21" borderId="32" xfId="1" applyNumberFormat="1" applyFont="1" applyFill="1" applyBorder="1" applyAlignment="1">
      <alignment vertical="center"/>
    </xf>
    <xf numFmtId="0" fontId="5" fillId="21" borderId="32" xfId="1" applyNumberFormat="1" applyFont="1" applyFill="1" applyBorder="1" applyAlignment="1">
      <alignment horizontal="center" vertical="center"/>
    </xf>
    <xf numFmtId="2" fontId="5" fillId="21" borderId="32" xfId="1" applyNumberFormat="1" applyFont="1" applyFill="1" applyBorder="1" applyAlignment="1">
      <alignment vertical="center"/>
    </xf>
    <xf numFmtId="10" fontId="5" fillId="21" borderId="32" xfId="2" applyNumberFormat="1" applyFont="1" applyFill="1" applyBorder="1" applyAlignment="1">
      <alignment vertical="center"/>
    </xf>
    <xf numFmtId="0" fontId="5" fillId="21" borderId="31" xfId="1" applyNumberFormat="1" applyFont="1" applyFill="1" applyBorder="1" applyAlignment="1">
      <alignment vertical="center"/>
    </xf>
    <xf numFmtId="0" fontId="5" fillId="21" borderId="112" xfId="1" applyNumberFormat="1" applyFont="1" applyFill="1" applyBorder="1" applyAlignment="1">
      <alignment vertical="center"/>
    </xf>
    <xf numFmtId="0" fontId="5" fillId="21" borderId="114" xfId="1" applyNumberFormat="1" applyFont="1" applyFill="1" applyBorder="1" applyAlignment="1">
      <alignment vertical="center"/>
    </xf>
    <xf numFmtId="0" fontId="5" fillId="21" borderId="57" xfId="1" applyNumberFormat="1" applyFont="1" applyFill="1" applyBorder="1" applyAlignment="1">
      <alignment vertical="center"/>
    </xf>
    <xf numFmtId="0" fontId="5" fillId="21" borderId="113" xfId="1" applyNumberFormat="1" applyFont="1" applyFill="1" applyBorder="1" applyAlignment="1">
      <alignment vertical="center"/>
    </xf>
    <xf numFmtId="2" fontId="5" fillId="21" borderId="115" xfId="1" applyNumberFormat="1" applyFont="1" applyFill="1" applyBorder="1" applyAlignment="1">
      <alignment vertical="center"/>
    </xf>
    <xf numFmtId="10" fontId="5" fillId="21" borderId="115" xfId="2" applyNumberFormat="1" applyFont="1" applyFill="1" applyBorder="1" applyAlignment="1">
      <alignment vertical="center"/>
    </xf>
    <xf numFmtId="0" fontId="5" fillId="21" borderId="115" xfId="1" applyNumberFormat="1" applyFont="1" applyFill="1" applyBorder="1" applyAlignment="1">
      <alignment vertical="center"/>
    </xf>
    <xf numFmtId="0" fontId="5" fillId="21" borderId="116" xfId="1" applyNumberFormat="1" applyFont="1" applyFill="1" applyBorder="1" applyAlignment="1">
      <alignment vertical="center"/>
    </xf>
    <xf numFmtId="0" fontId="5" fillId="21" borderId="51" xfId="1" applyNumberFormat="1" applyFont="1" applyFill="1" applyBorder="1" applyAlignment="1">
      <alignment vertical="center"/>
    </xf>
    <xf numFmtId="0" fontId="5" fillId="21" borderId="40" xfId="1" applyNumberFormat="1" applyFont="1" applyFill="1" applyBorder="1" applyAlignment="1">
      <alignment vertical="center"/>
    </xf>
    <xf numFmtId="0" fontId="5" fillId="21" borderId="39" xfId="1" applyNumberFormat="1" applyFont="1" applyFill="1" applyBorder="1" applyAlignment="1">
      <alignment vertical="center"/>
    </xf>
    <xf numFmtId="0" fontId="5" fillId="21" borderId="38" xfId="1" applyNumberFormat="1" applyFont="1" applyFill="1" applyBorder="1" applyAlignment="1">
      <alignment vertical="center"/>
    </xf>
    <xf numFmtId="0" fontId="69" fillId="21" borderId="0" xfId="1" applyNumberFormat="1" applyFont="1" applyFill="1" applyBorder="1" applyAlignment="1">
      <alignment vertical="center" wrapText="1"/>
    </xf>
    <xf numFmtId="0" fontId="4" fillId="21" borderId="7" xfId="1" applyNumberFormat="1" applyFont="1" applyFill="1" applyBorder="1" applyAlignment="1">
      <alignment vertical="center"/>
    </xf>
    <xf numFmtId="0" fontId="67" fillId="16" borderId="0" xfId="1" applyNumberFormat="1" applyFont="1" applyFill="1" applyBorder="1" applyAlignment="1">
      <alignment vertical="center"/>
    </xf>
    <xf numFmtId="0" fontId="4" fillId="4" borderId="0" xfId="1" applyNumberFormat="1" applyFont="1" applyFill="1" applyBorder="1" applyAlignment="1">
      <alignment vertical="center"/>
    </xf>
    <xf numFmtId="0" fontId="50" fillId="16" borderId="0" xfId="1" applyNumberFormat="1" applyFont="1" applyFill="1" applyBorder="1" applyAlignment="1">
      <alignment vertical="center"/>
    </xf>
    <xf numFmtId="0" fontId="5" fillId="21" borderId="7" xfId="1" applyNumberFormat="1" applyFont="1" applyFill="1" applyBorder="1" applyAlignment="1">
      <alignment vertical="center"/>
    </xf>
    <xf numFmtId="0" fontId="5" fillId="21" borderId="7" xfId="1" applyNumberFormat="1" applyFont="1" applyFill="1" applyBorder="1" applyAlignment="1">
      <alignment horizontal="center" vertical="center"/>
    </xf>
    <xf numFmtId="0" fontId="69" fillId="21" borderId="1" xfId="1" applyNumberFormat="1" applyFont="1" applyFill="1" applyBorder="1" applyAlignment="1">
      <alignment vertical="center"/>
    </xf>
    <xf numFmtId="0" fontId="75" fillId="21" borderId="15" xfId="0" applyFont="1" applyFill="1" applyBorder="1" applyAlignment="1">
      <alignment vertical="center"/>
    </xf>
    <xf numFmtId="0" fontId="75" fillId="21" borderId="3" xfId="0" applyFont="1" applyFill="1" applyBorder="1" applyAlignment="1">
      <alignment vertical="center"/>
    </xf>
    <xf numFmtId="0" fontId="75" fillId="21" borderId="1" xfId="0" applyFont="1" applyFill="1" applyBorder="1" applyAlignment="1">
      <alignment vertical="center"/>
    </xf>
    <xf numFmtId="0" fontId="69" fillId="21" borderId="3" xfId="1" applyNumberFormat="1" applyFont="1" applyFill="1" applyBorder="1" applyAlignment="1">
      <alignment vertical="center"/>
    </xf>
    <xf numFmtId="0" fontId="69" fillId="4" borderId="1" xfId="1" applyNumberFormat="1" applyFont="1" applyFill="1" applyBorder="1" applyAlignment="1">
      <alignment vertical="center"/>
    </xf>
    <xf numFmtId="0" fontId="69" fillId="21" borderId="1" xfId="1" applyNumberFormat="1" applyFont="1" applyFill="1" applyBorder="1" applyAlignment="1">
      <alignment vertical="top"/>
    </xf>
    <xf numFmtId="0" fontId="65" fillId="21" borderId="1" xfId="1" applyNumberFormat="1" applyFont="1" applyFill="1" applyBorder="1" applyAlignment="1">
      <alignment vertical="center"/>
    </xf>
    <xf numFmtId="0" fontId="69" fillId="21" borderId="6" xfId="1" applyNumberFormat="1" applyFont="1" applyFill="1" applyBorder="1" applyAlignment="1">
      <alignment vertical="center"/>
    </xf>
    <xf numFmtId="0" fontId="75" fillId="21" borderId="111" xfId="0" applyFont="1" applyFill="1" applyBorder="1" applyAlignment="1">
      <alignment vertical="center"/>
    </xf>
    <xf numFmtId="0" fontId="69" fillId="21" borderId="117" xfId="1" applyNumberFormat="1" applyFont="1" applyFill="1" applyBorder="1" applyAlignment="1">
      <alignment vertical="center"/>
    </xf>
    <xf numFmtId="0" fontId="69" fillId="21" borderId="15" xfId="1" applyNumberFormat="1" applyFont="1" applyFill="1" applyBorder="1" applyAlignment="1">
      <alignment vertical="center"/>
    </xf>
    <xf numFmtId="0" fontId="69" fillId="21" borderId="111" xfId="1" applyNumberFormat="1" applyFont="1" applyFill="1" applyBorder="1" applyAlignment="1">
      <alignment vertical="center"/>
    </xf>
    <xf numFmtId="49" fontId="39" fillId="2" borderId="48" xfId="1" applyNumberFormat="1" applyFont="1" applyFill="1" applyBorder="1" applyAlignment="1">
      <alignment horizontal="center" vertical="top" wrapText="1"/>
    </xf>
    <xf numFmtId="14" fontId="39" fillId="2" borderId="48" xfId="1" applyNumberFormat="1" applyFont="1" applyFill="1" applyBorder="1" applyAlignment="1">
      <alignment horizontal="center" vertical="top" wrapText="1"/>
    </xf>
    <xf numFmtId="49" fontId="39" fillId="2" borderId="48" xfId="1" applyNumberFormat="1" applyFont="1" applyFill="1" applyBorder="1" applyAlignment="1">
      <alignment horizontal="center" vertical="top"/>
    </xf>
    <xf numFmtId="0" fontId="41" fillId="0" borderId="0" xfId="0" applyFont="1" applyAlignment="1">
      <alignment vertical="center"/>
    </xf>
    <xf numFmtId="49" fontId="42" fillId="0" borderId="99" xfId="0" applyNumberFormat="1" applyFont="1" applyBorder="1" applyAlignment="1">
      <alignment horizontal="center" vertical="center"/>
    </xf>
    <xf numFmtId="49" fontId="40" fillId="0" borderId="0" xfId="1" applyNumberFormat="1" applyFont="1" applyAlignment="1">
      <alignment horizontal="centerContinuous" vertical="center"/>
    </xf>
    <xf numFmtId="0" fontId="41" fillId="0" borderId="0" xfId="0" applyFont="1" applyAlignment="1">
      <alignment horizontal="centerContinuous" vertical="center"/>
    </xf>
    <xf numFmtId="43" fontId="0" fillId="0" borderId="0" xfId="1" applyFont="1" applyAlignment="1">
      <alignment vertical="center"/>
    </xf>
    <xf numFmtId="43" fontId="54" fillId="0" borderId="0" xfId="1" applyFont="1" applyAlignment="1">
      <alignment vertical="center"/>
    </xf>
    <xf numFmtId="43" fontId="24" fillId="0" borderId="0" xfId="1" applyFont="1" applyAlignment="1">
      <alignment vertical="center"/>
    </xf>
    <xf numFmtId="43" fontId="74" fillId="0" borderId="0" xfId="1" applyFont="1" applyAlignment="1">
      <alignment horizontal="center" vertical="center"/>
    </xf>
    <xf numFmtId="43" fontId="0" fillId="0" borderId="0" xfId="1" applyFont="1" applyAlignment="1">
      <alignment horizontal="center" vertical="center"/>
    </xf>
    <xf numFmtId="0" fontId="13" fillId="0" borderId="0" xfId="4" applyFont="1"/>
    <xf numFmtId="17" fontId="13" fillId="0" borderId="0" xfId="4" applyNumberFormat="1" applyFont="1"/>
    <xf numFmtId="0" fontId="13" fillId="0" borderId="0" xfId="19" applyFont="1"/>
    <xf numFmtId="43" fontId="76" fillId="0" borderId="0" xfId="18" applyFont="1" applyBorder="1"/>
    <xf numFmtId="0" fontId="76" fillId="0" borderId="0" xfId="0" applyFont="1"/>
    <xf numFmtId="4" fontId="60" fillId="9" borderId="112" xfId="23" applyNumberFormat="1" applyFont="1" applyFill="1" applyBorder="1" applyAlignment="1">
      <alignment horizontal="center"/>
    </xf>
    <xf numFmtId="4" fontId="60" fillId="9" borderId="113" xfId="23" applyNumberFormat="1" applyFont="1" applyFill="1" applyBorder="1"/>
    <xf numFmtId="4" fontId="60" fillId="9" borderId="112" xfId="23" applyNumberFormat="1" applyFont="1" applyFill="1" applyBorder="1"/>
    <xf numFmtId="4" fontId="60" fillId="9" borderId="54" xfId="23" applyNumberFormat="1" applyFont="1" applyFill="1" applyBorder="1"/>
    <xf numFmtId="0" fontId="13" fillId="7" borderId="45" xfId="4" applyFont="1" applyFill="1" applyBorder="1" applyAlignment="1">
      <alignment horizontal="center" vertical="center"/>
    </xf>
    <xf numFmtId="49" fontId="35" fillId="0" borderId="72" xfId="19" applyNumberFormat="1" applyFont="1" applyBorder="1" applyAlignment="1">
      <alignment vertical="center"/>
    </xf>
    <xf numFmtId="49" fontId="31" fillId="0" borderId="72" xfId="19" applyNumberFormat="1" applyFont="1" applyBorder="1"/>
    <xf numFmtId="0" fontId="31" fillId="0" borderId="72" xfId="19" applyFont="1" applyBorder="1" applyAlignment="1">
      <alignment horizontal="center"/>
    </xf>
    <xf numFmtId="0" fontId="31" fillId="0" borderId="72" xfId="19" applyFont="1" applyBorder="1"/>
    <xf numFmtId="49" fontId="31" fillId="0" borderId="72" xfId="19" applyNumberFormat="1" applyFont="1" applyBorder="1" applyAlignment="1">
      <alignment horizontal="center"/>
    </xf>
    <xf numFmtId="14" fontId="31" fillId="0" borderId="72" xfId="19" applyNumberFormat="1" applyFont="1" applyBorder="1" applyAlignment="1">
      <alignment horizontal="center"/>
    </xf>
    <xf numFmtId="49" fontId="34" fillId="0" borderId="0" xfId="1" applyNumberFormat="1" applyFont="1" applyFill="1" applyBorder="1" applyAlignment="1">
      <alignment horizontal="left" vertical="center"/>
    </xf>
    <xf numFmtId="49" fontId="34" fillId="0" borderId="0" xfId="1" applyNumberFormat="1" applyFont="1" applyFill="1" applyBorder="1" applyAlignment="1">
      <alignment horizontal="right" vertical="center"/>
    </xf>
    <xf numFmtId="49" fontId="34" fillId="0" borderId="0" xfId="1" applyNumberFormat="1" applyFont="1" applyFill="1" applyBorder="1" applyAlignment="1">
      <alignment horizontal="center" vertical="center"/>
    </xf>
    <xf numFmtId="14" fontId="34" fillId="0" borderId="0" xfId="1" applyNumberFormat="1" applyFont="1" applyFill="1" applyBorder="1" applyAlignment="1">
      <alignment horizontal="left" vertical="center"/>
    </xf>
    <xf numFmtId="49" fontId="34" fillId="0" borderId="100" xfId="0" applyNumberFormat="1" applyFont="1" applyBorder="1" applyAlignment="1">
      <alignment horizontal="centerContinuous" vertical="center"/>
    </xf>
    <xf numFmtId="14" fontId="34" fillId="0" borderId="0" xfId="0" applyNumberFormat="1" applyFont="1" applyAlignment="1">
      <alignment horizontal="centerContinuous" vertical="center"/>
    </xf>
    <xf numFmtId="43" fontId="34" fillId="0" borderId="0" xfId="1" applyFont="1" applyBorder="1" applyAlignment="1">
      <alignment horizontal="centerContinuous" vertical="center"/>
    </xf>
    <xf numFmtId="43" fontId="34" fillId="0" borderId="100" xfId="1" applyFont="1" applyBorder="1" applyAlignment="1">
      <alignment horizontal="centerContinuous" vertical="center"/>
    </xf>
    <xf numFmtId="1" fontId="34" fillId="0" borderId="0" xfId="1" applyNumberFormat="1" applyFont="1" applyBorder="1" applyAlignment="1">
      <alignment horizontal="centerContinuous" vertical="center"/>
    </xf>
    <xf numFmtId="43" fontId="34" fillId="21" borderId="122" xfId="1" applyFont="1" applyFill="1" applyBorder="1" applyAlignment="1">
      <alignment vertical="center"/>
    </xf>
    <xf numFmtId="43" fontId="34" fillId="21" borderId="123" xfId="1" applyFont="1" applyFill="1" applyBorder="1" applyAlignment="1">
      <alignment vertical="center"/>
    </xf>
    <xf numFmtId="0" fontId="34" fillId="0" borderId="126" xfId="0" applyFont="1" applyBorder="1" applyAlignment="1">
      <alignment horizontal="center" vertical="center"/>
    </xf>
    <xf numFmtId="43" fontId="34" fillId="21" borderId="78" xfId="1" applyFont="1" applyFill="1" applyBorder="1" applyAlignment="1">
      <alignment vertical="center"/>
    </xf>
    <xf numFmtId="43" fontId="34" fillId="21" borderId="127" xfId="1" applyFont="1" applyFill="1" applyBorder="1" applyAlignment="1">
      <alignment vertical="center"/>
    </xf>
    <xf numFmtId="43" fontId="34" fillId="21" borderId="48" xfId="1" applyFont="1" applyFill="1" applyBorder="1" applyAlignment="1">
      <alignment vertical="center"/>
    </xf>
    <xf numFmtId="43" fontId="39" fillId="2" borderId="49" xfId="1" applyFont="1" applyFill="1" applyBorder="1" applyAlignment="1">
      <alignment horizontal="center" vertical="top" wrapText="1"/>
    </xf>
    <xf numFmtId="49" fontId="57" fillId="16" borderId="78" xfId="0" applyNumberFormat="1" applyFont="1" applyFill="1" applyBorder="1" applyAlignment="1">
      <alignment horizontal="center" vertical="center" wrapText="1"/>
    </xf>
    <xf numFmtId="43" fontId="34" fillId="21" borderId="48" xfId="1" applyFont="1" applyFill="1" applyBorder="1" applyAlignment="1">
      <alignment horizontal="center" vertical="center"/>
    </xf>
    <xf numFmtId="43" fontId="34" fillId="21" borderId="47" xfId="1" applyFont="1" applyFill="1" applyBorder="1" applyAlignment="1">
      <alignment horizontal="center" vertical="center"/>
    </xf>
    <xf numFmtId="43" fontId="34" fillId="21" borderId="57" xfId="1" applyFont="1" applyFill="1" applyBorder="1" applyAlignment="1">
      <alignment horizontal="center" vertical="center"/>
    </xf>
    <xf numFmtId="43" fontId="32" fillId="2" borderId="60" xfId="1" applyFont="1" applyFill="1" applyBorder="1" applyAlignment="1">
      <alignment horizontal="center" vertical="top" wrapText="1"/>
    </xf>
    <xf numFmtId="43" fontId="34" fillId="21" borderId="60" xfId="1" applyFont="1" applyFill="1" applyBorder="1" applyAlignment="1">
      <alignment horizontal="center" vertical="center"/>
    </xf>
    <xf numFmtId="43" fontId="34" fillId="21" borderId="49" xfId="1" applyFont="1" applyFill="1" applyBorder="1" applyAlignment="1">
      <alignment horizontal="center" vertical="center"/>
    </xf>
    <xf numFmtId="49" fontId="31" fillId="0" borderId="0" xfId="19" applyNumberFormat="1" applyFont="1" applyAlignment="1">
      <alignment vertical="center"/>
    </xf>
    <xf numFmtId="0" fontId="31" fillId="0" borderId="0" xfId="19" applyFont="1" applyAlignment="1">
      <alignment horizontal="center" vertical="center"/>
    </xf>
    <xf numFmtId="0" fontId="31" fillId="0" borderId="0" xfId="19" applyFont="1" applyAlignment="1">
      <alignment vertical="center"/>
    </xf>
    <xf numFmtId="49" fontId="31" fillId="0" borderId="0" xfId="19" applyNumberFormat="1" applyFont="1" applyAlignment="1">
      <alignment horizontal="center" vertical="center"/>
    </xf>
    <xf numFmtId="14" fontId="31" fillId="0" borderId="0" xfId="19" applyNumberFormat="1" applyFont="1" applyAlignment="1">
      <alignment vertical="center"/>
    </xf>
    <xf numFmtId="49" fontId="39" fillId="2" borderId="136" xfId="19" applyNumberFormat="1" applyFont="1" applyFill="1" applyBorder="1" applyAlignment="1">
      <alignment horizontal="centerContinuous" vertical="center" wrapText="1"/>
    </xf>
    <xf numFmtId="49" fontId="39" fillId="2" borderId="120" xfId="19" applyNumberFormat="1" applyFont="1" applyFill="1" applyBorder="1" applyAlignment="1">
      <alignment horizontal="centerContinuous" vertical="center" wrapText="1"/>
    </xf>
    <xf numFmtId="43" fontId="39" fillId="2" borderId="137" xfId="1" applyFont="1" applyFill="1" applyBorder="1" applyAlignment="1">
      <alignment horizontal="centerContinuous" vertical="center" wrapText="1"/>
    </xf>
    <xf numFmtId="43" fontId="34" fillId="30" borderId="64" xfId="1" applyFont="1" applyFill="1" applyBorder="1" applyAlignment="1">
      <alignment vertical="center"/>
    </xf>
    <xf numFmtId="0" fontId="4" fillId="0" borderId="15" xfId="4" applyBorder="1" applyAlignment="1">
      <alignment vertical="center"/>
    </xf>
    <xf numFmtId="0" fontId="13" fillId="7" borderId="1" xfId="4" applyFont="1" applyFill="1" applyBorder="1" applyAlignment="1">
      <alignment horizontal="center" vertical="center"/>
    </xf>
    <xf numFmtId="0" fontId="13" fillId="7" borderId="0" xfId="4" applyFont="1" applyFill="1" applyAlignment="1">
      <alignment horizontal="center" vertical="center"/>
    </xf>
    <xf numFmtId="0" fontId="5" fillId="7" borderId="48" xfId="4" applyFont="1" applyFill="1" applyBorder="1" applyAlignment="1">
      <alignment horizontal="center" vertical="center"/>
    </xf>
    <xf numFmtId="0" fontId="10" fillId="0" borderId="98" xfId="4" applyFont="1" applyBorder="1" applyAlignment="1">
      <alignment horizontal="center" vertical="center"/>
    </xf>
    <xf numFmtId="0" fontId="10" fillId="0" borderId="28" xfId="4" applyFont="1" applyBorder="1" applyAlignment="1">
      <alignment horizontal="center" vertical="center"/>
    </xf>
    <xf numFmtId="0" fontId="10" fillId="7" borderId="59" xfId="4" applyFont="1" applyFill="1" applyBorder="1" applyAlignment="1">
      <alignment horizontal="center" vertical="center"/>
    </xf>
    <xf numFmtId="0" fontId="8" fillId="0" borderId="51" xfId="4" applyFont="1" applyBorder="1" applyAlignment="1">
      <alignment vertical="center"/>
    </xf>
    <xf numFmtId="43" fontId="39" fillId="2" borderId="132" xfId="1" applyFont="1" applyFill="1" applyBorder="1" applyAlignment="1">
      <alignment horizontal="center" vertical="top" wrapText="1"/>
    </xf>
    <xf numFmtId="43" fontId="39" fillId="2" borderId="133" xfId="1" applyFont="1" applyFill="1" applyBorder="1" applyAlignment="1">
      <alignment horizontal="center" vertical="top" wrapText="1"/>
    </xf>
    <xf numFmtId="43" fontId="42" fillId="0" borderId="99" xfId="1" quotePrefix="1" applyFont="1" applyBorder="1" applyAlignment="1">
      <alignment horizontal="center" vertical="center"/>
    </xf>
    <xf numFmtId="43" fontId="42" fillId="0" borderId="0" xfId="1" applyFont="1" applyBorder="1" applyAlignment="1">
      <alignment horizontal="center" vertical="center"/>
    </xf>
    <xf numFmtId="0" fontId="38" fillId="0" borderId="48" xfId="0" applyFont="1" applyBorder="1" applyAlignment="1">
      <alignment horizontal="center" vertical="center" wrapText="1"/>
    </xf>
    <xf numFmtId="49" fontId="57" fillId="16" borderId="73" xfId="0" applyNumberFormat="1" applyFont="1" applyFill="1" applyBorder="1" applyAlignment="1">
      <alignment horizontal="center" vertical="top" wrapText="1"/>
    </xf>
    <xf numFmtId="43" fontId="39" fillId="2" borderId="134" xfId="1" applyFont="1" applyFill="1" applyBorder="1" applyAlignment="1">
      <alignment horizontal="center" vertical="top" wrapText="1"/>
    </xf>
    <xf numFmtId="43" fontId="32" fillId="2" borderId="73" xfId="1" applyFont="1" applyFill="1" applyBorder="1" applyAlignment="1">
      <alignment horizontal="center" vertical="top" wrapText="1"/>
    </xf>
    <xf numFmtId="43" fontId="32" fillId="2" borderId="140" xfId="1" applyFont="1" applyFill="1" applyBorder="1" applyAlignment="1">
      <alignment horizontal="center" vertical="top" wrapText="1"/>
    </xf>
    <xf numFmtId="43" fontId="32" fillId="2" borderId="141" xfId="1" applyFont="1" applyFill="1" applyBorder="1" applyAlignment="1">
      <alignment horizontal="center" vertical="top" wrapText="1"/>
    </xf>
    <xf numFmtId="43" fontId="32" fillId="2" borderId="142" xfId="1" applyFont="1" applyFill="1" applyBorder="1" applyAlignment="1">
      <alignment horizontal="center" vertical="top" wrapText="1"/>
    </xf>
    <xf numFmtId="49" fontId="4" fillId="21" borderId="0" xfId="1" quotePrefix="1" applyNumberFormat="1" applyFont="1" applyFill="1" applyBorder="1" applyAlignment="1">
      <alignment vertical="center"/>
    </xf>
    <xf numFmtId="0" fontId="39" fillId="2" borderId="73" xfId="0" applyFont="1" applyFill="1" applyBorder="1" applyAlignment="1">
      <alignment horizontal="center" vertical="top" wrapText="1"/>
    </xf>
    <xf numFmtId="49" fontId="39" fillId="2" borderId="73" xfId="19" applyNumberFormat="1" applyFont="1" applyFill="1" applyBorder="1" applyAlignment="1">
      <alignment horizontal="center" vertical="top" wrapText="1"/>
    </xf>
    <xf numFmtId="15" fontId="39" fillId="2" borderId="73" xfId="19" applyNumberFormat="1" applyFont="1" applyFill="1" applyBorder="1" applyAlignment="1">
      <alignment horizontal="center" vertical="top" wrapText="1"/>
    </xf>
    <xf numFmtId="0" fontId="39" fillId="2" borderId="73" xfId="19" applyFont="1" applyFill="1" applyBorder="1" applyAlignment="1">
      <alignment horizontal="center" vertical="top" wrapText="1"/>
    </xf>
    <xf numFmtId="43" fontId="31" fillId="0" borderId="73" xfId="1" applyFont="1" applyBorder="1" applyAlignment="1">
      <alignment vertical="top"/>
    </xf>
    <xf numFmtId="0" fontId="39" fillId="2" borderId="75" xfId="19" applyFont="1" applyFill="1" applyBorder="1" applyAlignment="1">
      <alignment horizontal="center" vertical="top" wrapText="1"/>
    </xf>
    <xf numFmtId="43" fontId="39" fillId="2" borderId="75" xfId="1" applyFont="1" applyFill="1" applyBorder="1" applyAlignment="1">
      <alignment horizontal="center" vertical="center" wrapText="1"/>
    </xf>
    <xf numFmtId="43" fontId="39" fillId="2" borderId="75" xfId="1" applyFont="1" applyFill="1" applyBorder="1" applyAlignment="1">
      <alignment horizontal="center" vertical="top" wrapText="1"/>
    </xf>
    <xf numFmtId="14" fontId="39" fillId="2" borderId="73" xfId="0" applyNumberFormat="1" applyFont="1" applyFill="1" applyBorder="1" applyAlignment="1">
      <alignment horizontal="center" vertical="top" wrapText="1"/>
    </xf>
    <xf numFmtId="49" fontId="39" fillId="2" borderId="73" xfId="0" applyNumberFormat="1" applyFont="1" applyFill="1" applyBorder="1" applyAlignment="1">
      <alignment horizontal="center" vertical="top" wrapText="1"/>
    </xf>
    <xf numFmtId="43" fontId="39" fillId="2" borderId="73" xfId="1" applyFont="1" applyFill="1" applyBorder="1" applyAlignment="1">
      <alignment horizontal="center" vertical="top" wrapText="1"/>
    </xf>
    <xf numFmtId="49" fontId="36" fillId="0" borderId="54" xfId="0" applyNumberFormat="1" applyFont="1" applyBorder="1"/>
    <xf numFmtId="49" fontId="36" fillId="0" borderId="54" xfId="0" applyNumberFormat="1" applyFont="1" applyBorder="1" applyAlignment="1">
      <alignment horizontal="center"/>
    </xf>
    <xf numFmtId="170" fontId="36" fillId="0" borderId="54" xfId="1" applyNumberFormat="1" applyFont="1" applyBorder="1"/>
    <xf numFmtId="43" fontId="36" fillId="0" borderId="54" xfId="1" applyFont="1" applyBorder="1"/>
    <xf numFmtId="0" fontId="36" fillId="0" borderId="54" xfId="0" applyFont="1" applyBorder="1" applyAlignment="1">
      <alignment horizontal="center"/>
    </xf>
    <xf numFmtId="170" fontId="36" fillId="0" borderId="54" xfId="0" applyNumberFormat="1" applyFont="1" applyBorder="1"/>
    <xf numFmtId="0" fontId="36" fillId="0" borderId="54" xfId="0" applyFont="1" applyBorder="1" applyAlignment="1">
      <alignment horizontal="right"/>
    </xf>
    <xf numFmtId="10" fontId="36" fillId="0" borderId="54" xfId="2" applyNumberFormat="1" applyFont="1" applyBorder="1"/>
    <xf numFmtId="14" fontId="36" fillId="0" borderId="54" xfId="0" applyNumberFormat="1" applyFont="1" applyBorder="1"/>
    <xf numFmtId="43" fontId="36" fillId="0" borderId="54" xfId="1" applyFont="1" applyBorder="1" applyAlignment="1">
      <alignment horizontal="center"/>
    </xf>
    <xf numFmtId="43" fontId="39" fillId="2" borderId="146" xfId="1" applyFont="1" applyFill="1" applyBorder="1" applyAlignment="1">
      <alignment horizontal="center" vertical="top" wrapText="1"/>
    </xf>
    <xf numFmtId="43" fontId="39" fillId="2" borderId="2" xfId="1" applyFont="1" applyFill="1" applyBorder="1" applyAlignment="1">
      <alignment horizontal="center" vertical="top" wrapText="1"/>
    </xf>
    <xf numFmtId="1" fontId="36" fillId="0" borderId="54" xfId="0" applyNumberFormat="1" applyFont="1" applyBorder="1" applyAlignment="1">
      <alignment horizontal="center"/>
    </xf>
    <xf numFmtId="49" fontId="36" fillId="0" borderId="54" xfId="1" applyNumberFormat="1" applyFont="1" applyBorder="1"/>
    <xf numFmtId="1" fontId="36" fillId="0" borderId="54" xfId="0" applyNumberFormat="1" applyFont="1" applyBorder="1"/>
    <xf numFmtId="164" fontId="39" fillId="2" borderId="73" xfId="1" applyNumberFormat="1" applyFont="1" applyFill="1" applyBorder="1" applyAlignment="1">
      <alignment horizontal="center" vertical="top" wrapText="1"/>
    </xf>
    <xf numFmtId="49" fontId="39" fillId="2" borderId="73" xfId="1" applyNumberFormat="1" applyFont="1" applyFill="1" applyBorder="1" applyAlignment="1">
      <alignment horizontal="center" vertical="top" wrapText="1"/>
    </xf>
    <xf numFmtId="49" fontId="36" fillId="0" borderId="48" xfId="0" applyNumberFormat="1" applyFont="1" applyBorder="1"/>
    <xf numFmtId="0" fontId="36" fillId="0" borderId="48" xfId="0" applyFont="1" applyBorder="1"/>
    <xf numFmtId="49" fontId="36" fillId="0" borderId="48" xfId="0" applyNumberFormat="1" applyFont="1" applyBorder="1" applyAlignment="1">
      <alignment horizontal="center"/>
    </xf>
    <xf numFmtId="43" fontId="36" fillId="0" borderId="48" xfId="1" applyFont="1" applyBorder="1"/>
    <xf numFmtId="0" fontId="36" fillId="0" borderId="48" xfId="0" applyFont="1" applyBorder="1" applyAlignment="1">
      <alignment horizontal="center"/>
    </xf>
    <xf numFmtId="170" fontId="36" fillId="0" borderId="48" xfId="1" applyNumberFormat="1" applyFont="1" applyBorder="1"/>
    <xf numFmtId="14" fontId="36" fillId="0" borderId="48" xfId="0" applyNumberFormat="1" applyFont="1" applyBorder="1"/>
    <xf numFmtId="43" fontId="36" fillId="0" borderId="48" xfId="1" applyFont="1" applyBorder="1" applyAlignment="1">
      <alignment horizontal="center"/>
    </xf>
    <xf numFmtId="1" fontId="36" fillId="0" borderId="48" xfId="0" applyNumberFormat="1" applyFont="1" applyBorder="1" applyAlignment="1">
      <alignment horizontal="center"/>
    </xf>
    <xf numFmtId="49" fontId="36" fillId="0" borderId="48" xfId="1" applyNumberFormat="1" applyFont="1" applyBorder="1"/>
    <xf numFmtId="1" fontId="36" fillId="0" borderId="48" xfId="0" applyNumberFormat="1" applyFont="1" applyBorder="1"/>
    <xf numFmtId="49" fontId="31" fillId="0" borderId="54" xfId="19" applyNumberFormat="1" applyFont="1" applyBorder="1"/>
    <xf numFmtId="0" fontId="31" fillId="0" borderId="54" xfId="19" applyFont="1" applyBorder="1" applyAlignment="1">
      <alignment horizontal="center"/>
    </xf>
    <xf numFmtId="0" fontId="31" fillId="0" borderId="54" xfId="19" applyFont="1" applyBorder="1"/>
    <xf numFmtId="170" fontId="31" fillId="0" borderId="54" xfId="1" applyNumberFormat="1" applyFont="1" applyBorder="1"/>
    <xf numFmtId="43" fontId="31" fillId="0" borderId="54" xfId="1" applyFont="1" applyBorder="1"/>
    <xf numFmtId="49" fontId="31" fillId="0" borderId="48" xfId="19" applyNumberFormat="1" applyFont="1" applyBorder="1"/>
    <xf numFmtId="0" fontId="31" fillId="0" borderId="48" xfId="19" applyFont="1" applyBorder="1" applyAlignment="1">
      <alignment horizontal="center"/>
    </xf>
    <xf numFmtId="0" fontId="31" fillId="0" borderId="48" xfId="19" applyFont="1" applyBorder="1"/>
    <xf numFmtId="170" fontId="31" fillId="0" borderId="48" xfId="1" applyNumberFormat="1" applyFont="1" applyBorder="1"/>
    <xf numFmtId="43" fontId="31" fillId="0" borderId="48" xfId="1" applyFont="1" applyBorder="1"/>
    <xf numFmtId="43" fontId="31" fillId="0" borderId="126" xfId="1" applyFont="1" applyBorder="1"/>
    <xf numFmtId="43" fontId="34" fillId="30" borderId="37" xfId="1" applyFont="1" applyFill="1" applyBorder="1" applyAlignment="1">
      <alignment vertical="center"/>
    </xf>
    <xf numFmtId="43" fontId="34" fillId="30" borderId="24" xfId="1" applyFont="1" applyFill="1" applyBorder="1" applyAlignment="1">
      <alignment vertical="center"/>
    </xf>
    <xf numFmtId="49" fontId="31" fillId="0" borderId="0" xfId="4" applyNumberFormat="1" applyFont="1" applyAlignment="1">
      <alignment horizontal="left"/>
    </xf>
    <xf numFmtId="49" fontId="31" fillId="0" borderId="54" xfId="4" applyNumberFormat="1" applyFont="1" applyBorder="1" applyAlignment="1">
      <alignment horizontal="left"/>
    </xf>
    <xf numFmtId="49" fontId="31" fillId="0" borderId="54" xfId="20" applyNumberFormat="1" applyFont="1" applyFill="1" applyBorder="1" applyAlignment="1" applyProtection="1"/>
    <xf numFmtId="43" fontId="31" fillId="0" borderId="54" xfId="1" applyFont="1" applyBorder="1" applyAlignment="1"/>
    <xf numFmtId="49" fontId="31" fillId="0" borderId="48" xfId="4" applyNumberFormat="1" applyFont="1" applyBorder="1"/>
    <xf numFmtId="49" fontId="31" fillId="0" borderId="48" xfId="4" applyNumberFormat="1" applyFont="1" applyBorder="1" applyAlignment="1">
      <alignment horizontal="center"/>
    </xf>
    <xf numFmtId="2" fontId="31" fillId="7" borderId="0" xfId="1" applyNumberFormat="1" applyFont="1" applyFill="1" applyAlignment="1">
      <alignment vertical="center"/>
    </xf>
    <xf numFmtId="2" fontId="87" fillId="0" borderId="0" xfId="1" applyNumberFormat="1" applyFont="1" applyAlignment="1">
      <alignment vertical="center"/>
    </xf>
    <xf numFmtId="4" fontId="31" fillId="0" borderId="54" xfId="20" applyNumberFormat="1" applyFont="1" applyFill="1" applyBorder="1" applyProtection="1"/>
    <xf numFmtId="49" fontId="31" fillId="0" borderId="54" xfId="20" applyNumberFormat="1" applyFont="1" applyFill="1" applyBorder="1" applyAlignment="1" applyProtection="1">
      <alignment horizontal="center"/>
    </xf>
    <xf numFmtId="49" fontId="88" fillId="2" borderId="19" xfId="4" applyNumberFormat="1" applyFont="1" applyFill="1" applyBorder="1" applyAlignment="1">
      <alignment horizontal="center" vertical="top" wrapText="1"/>
    </xf>
    <xf numFmtId="0" fontId="31" fillId="0" borderId="141" xfId="0" applyFont="1" applyBorder="1" applyAlignment="1">
      <alignment horizontal="center" vertical="top"/>
    </xf>
    <xf numFmtId="0" fontId="0" fillId="0" borderId="87" xfId="0" applyBorder="1" applyAlignment="1">
      <alignment vertical="center" wrapText="1"/>
    </xf>
    <xf numFmtId="0" fontId="0" fillId="0" borderId="88" xfId="0" applyBorder="1" applyAlignment="1">
      <alignment vertical="center" wrapText="1"/>
    </xf>
    <xf numFmtId="0" fontId="0" fillId="0" borderId="89" xfId="0" applyBorder="1" applyAlignment="1">
      <alignment vertical="center" wrapText="1"/>
    </xf>
    <xf numFmtId="0" fontId="8" fillId="0" borderId="0" xfId="4" applyFont="1" applyAlignment="1">
      <alignment vertical="center" wrapText="1"/>
    </xf>
    <xf numFmtId="49" fontId="11" fillId="0" borderId="1" xfId="4" applyNumberFormat="1" applyFont="1" applyBorder="1" applyAlignment="1">
      <alignment horizontal="left" vertical="center"/>
    </xf>
    <xf numFmtId="49" fontId="89" fillId="0" borderId="63" xfId="4" applyNumberFormat="1" applyFont="1" applyBorder="1" applyAlignment="1">
      <alignment horizontal="left" vertical="center"/>
    </xf>
    <xf numFmtId="49" fontId="89" fillId="0" borderId="48" xfId="4" applyNumberFormat="1" applyFont="1" applyBorder="1" applyAlignment="1">
      <alignment horizontal="left" vertical="center"/>
    </xf>
    <xf numFmtId="49" fontId="89" fillId="0" borderId="45" xfId="4" applyNumberFormat="1" applyFont="1" applyBorder="1" applyAlignment="1">
      <alignment horizontal="left" vertical="center"/>
    </xf>
    <xf numFmtId="0" fontId="11" fillId="0" borderId="4" xfId="4" applyFont="1" applyBorder="1" applyAlignment="1">
      <alignment vertical="center"/>
    </xf>
    <xf numFmtId="164" fontId="9" fillId="0" borderId="48" xfId="5" applyNumberFormat="1" applyFont="1" applyBorder="1" applyAlignment="1">
      <alignment vertical="center"/>
    </xf>
    <xf numFmtId="0" fontId="59" fillId="20" borderId="21" xfId="23" applyFont="1" applyFill="1" applyBorder="1" applyAlignment="1">
      <alignment horizontal="center" vertical="center" wrapText="1"/>
    </xf>
    <xf numFmtId="0" fontId="59" fillId="20" borderId="22" xfId="23" applyFont="1" applyFill="1" applyBorder="1" applyAlignment="1">
      <alignment horizontal="center" vertical="center" wrapText="1"/>
    </xf>
    <xf numFmtId="0" fontId="59" fillId="20" borderId="23" xfId="23" applyFont="1" applyFill="1" applyBorder="1" applyAlignment="1">
      <alignment horizontal="center" vertical="center" wrapText="1"/>
    </xf>
    <xf numFmtId="0" fontId="70" fillId="16" borderId="105" xfId="23" applyFont="1" applyFill="1" applyBorder="1" applyAlignment="1">
      <alignment horizontal="center" vertical="center" wrapText="1"/>
    </xf>
    <xf numFmtId="0" fontId="70" fillId="16" borderId="96" xfId="23" applyFont="1" applyFill="1" applyBorder="1" applyAlignment="1">
      <alignment horizontal="center" vertical="center" wrapText="1"/>
    </xf>
    <xf numFmtId="0" fontId="70" fillId="16" borderId="106" xfId="23" applyFont="1" applyFill="1" applyBorder="1" applyAlignment="1">
      <alignment horizontal="center" vertical="center" wrapText="1"/>
    </xf>
    <xf numFmtId="0" fontId="4" fillId="21" borderId="0" xfId="1" applyNumberFormat="1" applyFont="1" applyFill="1" applyBorder="1" applyAlignment="1">
      <alignment vertical="top" wrapText="1"/>
    </xf>
    <xf numFmtId="49" fontId="5" fillId="21" borderId="54" xfId="1" applyNumberFormat="1" applyFont="1" applyFill="1" applyBorder="1" applyAlignment="1">
      <alignment vertical="center"/>
    </xf>
    <xf numFmtId="0" fontId="4" fillId="0" borderId="0" xfId="4"/>
    <xf numFmtId="0" fontId="5" fillId="0" borderId="77" xfId="4" applyFont="1" applyBorder="1" applyAlignment="1">
      <alignment horizontal="center"/>
    </xf>
    <xf numFmtId="0" fontId="29" fillId="6" borderId="78" xfId="4" applyFont="1" applyFill="1" applyBorder="1" applyAlignment="1">
      <alignment horizontal="center" vertical="top" wrapText="1"/>
    </xf>
    <xf numFmtId="0" fontId="29" fillId="6" borderId="79" xfId="4" applyFont="1" applyFill="1" applyBorder="1" applyAlignment="1">
      <alignment horizontal="center" vertical="top" wrapText="1"/>
    </xf>
    <xf numFmtId="0" fontId="29" fillId="6" borderId="75" xfId="4" applyFont="1" applyFill="1" applyBorder="1" applyAlignment="1">
      <alignment horizontal="center" vertical="center" wrapText="1"/>
    </xf>
    <xf numFmtId="0" fontId="29" fillId="6" borderId="83" xfId="4" applyFont="1" applyFill="1" applyBorder="1" applyAlignment="1">
      <alignment horizontal="center" vertical="center" wrapText="1"/>
    </xf>
    <xf numFmtId="0" fontId="29" fillId="6" borderId="94" xfId="4" applyFont="1" applyFill="1" applyBorder="1" applyAlignment="1">
      <alignment horizontal="center" vertical="center" wrapText="1"/>
    </xf>
    <xf numFmtId="0" fontId="29" fillId="6" borderId="0" xfId="4" applyFont="1" applyFill="1" applyAlignment="1">
      <alignment horizontal="center" vertical="center" wrapText="1"/>
    </xf>
    <xf numFmtId="0" fontId="29" fillId="6" borderId="74" xfId="4" applyFont="1" applyFill="1" applyBorder="1" applyAlignment="1">
      <alignment horizontal="center" vertical="center" wrapText="1"/>
    </xf>
    <xf numFmtId="0" fontId="28" fillId="6" borderId="72" xfId="4" applyFont="1" applyFill="1" applyBorder="1" applyAlignment="1">
      <alignment horizontal="center" vertical="center"/>
    </xf>
    <xf numFmtId="0" fontId="29" fillId="6" borderId="73" xfId="4" applyFont="1" applyFill="1" applyBorder="1" applyAlignment="1">
      <alignment horizontal="center" vertical="center" wrapText="1"/>
    </xf>
    <xf numFmtId="0" fontId="29" fillId="6" borderId="82" xfId="4" applyFont="1" applyFill="1" applyBorder="1" applyAlignment="1">
      <alignment horizontal="center" vertical="center" wrapText="1"/>
    </xf>
    <xf numFmtId="0" fontId="29" fillId="6" borderId="73" xfId="4" applyFont="1" applyFill="1" applyBorder="1" applyAlignment="1">
      <alignment horizontal="center" vertical="top" wrapText="1"/>
    </xf>
    <xf numFmtId="0" fontId="29" fillId="6" borderId="82" xfId="4" applyFont="1" applyFill="1" applyBorder="1" applyAlignment="1">
      <alignment horizontal="center" vertical="top" wrapText="1"/>
    </xf>
    <xf numFmtId="0" fontId="29" fillId="6" borderId="76" xfId="4" applyFont="1" applyFill="1" applyBorder="1" applyAlignment="1">
      <alignment horizontal="center" vertical="top" wrapText="1"/>
    </xf>
    <xf numFmtId="0" fontId="29" fillId="6" borderId="77" xfId="4" applyFont="1" applyFill="1" applyBorder="1" applyAlignment="1">
      <alignment horizontal="center" vertical="top" wrapText="1"/>
    </xf>
    <xf numFmtId="0" fontId="49" fillId="0" borderId="0" xfId="4" applyFont="1"/>
    <xf numFmtId="0" fontId="5" fillId="0" borderId="0" xfId="4" applyFont="1"/>
    <xf numFmtId="0" fontId="4" fillId="0" borderId="93" xfId="4" applyBorder="1"/>
    <xf numFmtId="164" fontId="9" fillId="0" borderId="51" xfId="8" applyNumberFormat="1" applyFont="1" applyBorder="1" applyAlignment="1">
      <alignment horizontal="center" vertical="center"/>
    </xf>
    <xf numFmtId="164" fontId="9" fillId="0" borderId="16" xfId="8" applyNumberFormat="1" applyFont="1" applyBorder="1" applyAlignment="1">
      <alignment horizontal="center" vertical="center"/>
    </xf>
    <xf numFmtId="164" fontId="9" fillId="0" borderId="44" xfId="8" applyNumberFormat="1" applyFont="1" applyBorder="1" applyAlignment="1">
      <alignment horizontal="center" vertical="center"/>
    </xf>
    <xf numFmtId="164" fontId="9" fillId="0" borderId="13" xfId="8" applyNumberFormat="1" applyFont="1" applyBorder="1" applyAlignment="1">
      <alignment horizontal="center" vertical="center"/>
    </xf>
    <xf numFmtId="0" fontId="7" fillId="31" borderId="21" xfId="4" applyFont="1" applyFill="1" applyBorder="1" applyAlignment="1">
      <alignment vertical="center"/>
    </xf>
    <xf numFmtId="0" fontId="7" fillId="31" borderId="22" xfId="4" applyFont="1" applyFill="1" applyBorder="1" applyAlignment="1">
      <alignment vertical="center"/>
    </xf>
    <xf numFmtId="0" fontId="7" fillId="31" borderId="23" xfId="4" applyFont="1" applyFill="1" applyBorder="1" applyAlignment="1">
      <alignment vertical="center"/>
    </xf>
    <xf numFmtId="0" fontId="10" fillId="7" borderId="44" xfId="4" applyFont="1" applyFill="1" applyBorder="1" applyAlignment="1">
      <alignment horizontal="center" vertical="center"/>
    </xf>
    <xf numFmtId="0" fontId="10" fillId="7" borderId="13" xfId="4" applyFont="1" applyFill="1" applyBorder="1" applyAlignment="1">
      <alignment horizontal="center" vertical="center"/>
    </xf>
    <xf numFmtId="0" fontId="10" fillId="7" borderId="14" xfId="4" applyFont="1" applyFill="1" applyBorder="1" applyAlignment="1">
      <alignment horizontal="center" vertical="center"/>
    </xf>
    <xf numFmtId="0" fontId="17" fillId="7" borderId="54" xfId="4" applyFont="1" applyFill="1" applyBorder="1" applyAlignment="1">
      <alignment horizontal="center" vertical="center"/>
    </xf>
    <xf numFmtId="0" fontId="7" fillId="5" borderId="51" xfId="4" applyFont="1" applyFill="1" applyBorder="1" applyAlignment="1">
      <alignment horizontal="center" vertical="center"/>
    </xf>
    <xf numFmtId="0" fontId="7" fillId="5" borderId="57" xfId="4" applyFont="1" applyFill="1" applyBorder="1" applyAlignment="1">
      <alignment horizontal="center" vertical="center"/>
    </xf>
    <xf numFmtId="164" fontId="9" fillId="0" borderId="47" xfId="8" applyNumberFormat="1" applyFont="1" applyBorder="1" applyAlignment="1">
      <alignment horizontal="center" vertical="center"/>
    </xf>
    <xf numFmtId="164" fontId="9" fillId="0" borderId="49" xfId="8" applyNumberFormat="1" applyFont="1" applyBorder="1" applyAlignment="1">
      <alignment horizontal="center" vertical="center"/>
    </xf>
    <xf numFmtId="165" fontId="9" fillId="13" borderId="51" xfId="8" applyNumberFormat="1" applyFont="1" applyFill="1" applyBorder="1" applyAlignment="1">
      <alignment horizontal="center" vertical="center"/>
    </xf>
    <xf numFmtId="165" fontId="9" fillId="13" borderId="16" xfId="8" applyNumberFormat="1" applyFont="1" applyFill="1" applyBorder="1" applyAlignment="1">
      <alignment horizontal="center" vertical="center"/>
    </xf>
    <xf numFmtId="165" fontId="9" fillId="13" borderId="57" xfId="8" applyNumberFormat="1" applyFont="1" applyFill="1" applyBorder="1" applyAlignment="1">
      <alignment horizontal="center" vertical="center"/>
    </xf>
    <xf numFmtId="0" fontId="10" fillId="7" borderId="28" xfId="4" applyFont="1" applyFill="1" applyBorder="1" applyAlignment="1">
      <alignment horizontal="center" vertical="center"/>
    </xf>
    <xf numFmtId="0" fontId="10" fillId="7" borderId="0" xfId="4" applyFont="1" applyFill="1" applyAlignment="1">
      <alignment horizontal="center" vertical="center"/>
    </xf>
    <xf numFmtId="0" fontId="10" fillId="7" borderId="2" xfId="4" applyFont="1" applyFill="1" applyBorder="1" applyAlignment="1">
      <alignment horizontal="center" vertical="center"/>
    </xf>
    <xf numFmtId="164" fontId="12" fillId="0" borderId="21" xfId="8" applyNumberFormat="1" applyFont="1" applyBorder="1" applyAlignment="1">
      <alignment horizontal="center" vertical="center"/>
    </xf>
    <xf numFmtId="164" fontId="12" fillId="0" borderId="22" xfId="8" applyNumberFormat="1" applyFont="1" applyBorder="1" applyAlignment="1">
      <alignment horizontal="center" vertical="center"/>
    </xf>
    <xf numFmtId="164" fontId="9" fillId="12" borderId="30" xfId="8" applyNumberFormat="1" applyFont="1" applyFill="1" applyBorder="1" applyAlignment="1">
      <alignment horizontal="center" vertical="center"/>
    </xf>
    <xf numFmtId="164" fontId="9" fillId="12" borderId="4" xfId="8" applyNumberFormat="1" applyFont="1" applyFill="1" applyBorder="1" applyAlignment="1">
      <alignment horizontal="center" vertical="center"/>
    </xf>
    <xf numFmtId="164" fontId="9" fillId="12" borderId="5" xfId="8" applyNumberFormat="1" applyFont="1" applyFill="1" applyBorder="1" applyAlignment="1">
      <alignment horizontal="center" vertical="center"/>
    </xf>
    <xf numFmtId="0" fontId="10" fillId="12" borderId="38" xfId="4" applyFont="1" applyFill="1" applyBorder="1" applyAlignment="1">
      <alignment horizontal="center" vertical="center"/>
    </xf>
    <xf numFmtId="0" fontId="10" fillId="12" borderId="32" xfId="4" applyFont="1" applyFill="1" applyBorder="1" applyAlignment="1">
      <alignment horizontal="center" vertical="center"/>
    </xf>
    <xf numFmtId="0" fontId="10" fillId="12" borderId="31" xfId="4" applyFont="1" applyFill="1" applyBorder="1" applyAlignment="1">
      <alignment horizontal="center" vertical="center"/>
    </xf>
    <xf numFmtId="0" fontId="10" fillId="12" borderId="51" xfId="4" applyFont="1" applyFill="1" applyBorder="1" applyAlignment="1">
      <alignment horizontal="center" vertical="center"/>
    </xf>
    <xf numFmtId="0" fontId="10" fillId="12" borderId="16" xfId="4" applyFont="1" applyFill="1" applyBorder="1" applyAlignment="1">
      <alignment horizontal="center" vertical="center"/>
    </xf>
    <xf numFmtId="0" fontId="10" fillId="12" borderId="17" xfId="4" applyFont="1" applyFill="1" applyBorder="1" applyAlignment="1">
      <alignment horizontal="center" vertical="center"/>
    </xf>
    <xf numFmtId="0" fontId="8" fillId="7" borderId="18" xfId="4" applyFont="1" applyFill="1" applyBorder="1" applyAlignment="1">
      <alignment horizontal="center" vertical="center" wrapText="1"/>
    </xf>
    <xf numFmtId="0" fontId="8" fillId="7" borderId="19" xfId="4" applyFont="1" applyFill="1" applyBorder="1" applyAlignment="1">
      <alignment horizontal="center" vertical="center" wrapText="1"/>
    </xf>
    <xf numFmtId="0" fontId="8" fillId="7" borderId="20" xfId="4" applyFont="1" applyFill="1" applyBorder="1" applyAlignment="1">
      <alignment horizontal="center" vertical="center" wrapText="1"/>
    </xf>
    <xf numFmtId="0" fontId="8" fillId="7" borderId="1" xfId="4" applyFont="1" applyFill="1" applyBorder="1" applyAlignment="1">
      <alignment horizontal="center" vertical="center" wrapText="1"/>
    </xf>
    <xf numFmtId="0" fontId="8" fillId="7" borderId="0" xfId="4" applyFont="1" applyFill="1" applyAlignment="1">
      <alignment horizontal="center" vertical="center" wrapText="1"/>
    </xf>
    <xf numFmtId="0" fontId="8" fillId="7" borderId="2" xfId="4" applyFont="1" applyFill="1" applyBorder="1" applyAlignment="1">
      <alignment horizontal="center" vertical="center" wrapText="1"/>
    </xf>
    <xf numFmtId="0" fontId="8" fillId="7" borderId="3" xfId="4" applyFont="1" applyFill="1" applyBorder="1" applyAlignment="1">
      <alignment horizontal="center" vertical="center" wrapText="1"/>
    </xf>
    <xf numFmtId="0" fontId="8" fillId="7" borderId="4" xfId="4" applyFont="1" applyFill="1" applyBorder="1" applyAlignment="1">
      <alignment horizontal="center" vertical="center" wrapText="1"/>
    </xf>
    <xf numFmtId="0" fontId="8" fillId="7" borderId="5" xfId="4" applyFont="1" applyFill="1" applyBorder="1" applyAlignment="1">
      <alignment horizontal="center" vertical="center" wrapText="1"/>
    </xf>
    <xf numFmtId="164" fontId="9" fillId="0" borderId="52" xfId="8" applyNumberFormat="1" applyFont="1" applyBorder="1" applyAlignment="1">
      <alignment horizontal="center" vertical="center"/>
    </xf>
    <xf numFmtId="164" fontId="9" fillId="0" borderId="22" xfId="8" applyNumberFormat="1" applyFont="1" applyBorder="1" applyAlignment="1">
      <alignment horizontal="center" vertical="center"/>
    </xf>
    <xf numFmtId="0" fontId="8" fillId="7" borderId="70" xfId="4" applyFont="1" applyFill="1" applyBorder="1" applyAlignment="1">
      <alignment horizontal="center" vertical="center" wrapText="1"/>
    </xf>
    <xf numFmtId="0" fontId="8" fillId="7" borderId="59" xfId="4" applyFont="1" applyFill="1" applyBorder="1" applyAlignment="1">
      <alignment horizontal="center" vertical="center" wrapText="1"/>
    </xf>
    <xf numFmtId="0" fontId="8" fillId="7" borderId="69" xfId="4" applyFont="1" applyFill="1" applyBorder="1" applyAlignment="1">
      <alignment horizontal="center" vertical="center" wrapText="1"/>
    </xf>
    <xf numFmtId="164" fontId="12" fillId="10" borderId="21" xfId="8" applyNumberFormat="1" applyFont="1" applyFill="1" applyBorder="1" applyAlignment="1">
      <alignment horizontal="center" vertical="center"/>
    </xf>
    <xf numFmtId="164" fontId="12" fillId="10" borderId="22" xfId="8" applyNumberFormat="1" applyFont="1" applyFill="1" applyBorder="1" applyAlignment="1">
      <alignment horizontal="center" vertical="center"/>
    </xf>
    <xf numFmtId="164" fontId="9" fillId="0" borderId="38" xfId="8" applyNumberFormat="1" applyFont="1" applyBorder="1" applyAlignment="1">
      <alignment horizontal="center" vertical="center"/>
    </xf>
    <xf numFmtId="164" fontId="9" fillId="0" borderId="32" xfId="8" applyNumberFormat="1" applyFont="1" applyBorder="1" applyAlignment="1">
      <alignment horizontal="center" vertical="center"/>
    </xf>
    <xf numFmtId="164" fontId="9" fillId="0" borderId="42" xfId="8" applyNumberFormat="1" applyFont="1" applyBorder="1" applyAlignment="1">
      <alignment horizontal="center" vertical="center"/>
    </xf>
    <xf numFmtId="164" fontId="9" fillId="0" borderId="10" xfId="8" applyNumberFormat="1" applyFont="1" applyBorder="1" applyAlignment="1">
      <alignment horizontal="center" vertical="center"/>
    </xf>
    <xf numFmtId="49" fontId="11" fillId="11" borderId="21" xfId="4" applyNumberFormat="1" applyFont="1" applyFill="1" applyBorder="1" applyAlignment="1">
      <alignment horizontal="center" vertical="center"/>
    </xf>
    <xf numFmtId="49" fontId="11" fillId="11" borderId="22" xfId="4" applyNumberFormat="1" applyFont="1" applyFill="1" applyBorder="1" applyAlignment="1">
      <alignment horizontal="center" vertical="center"/>
    </xf>
    <xf numFmtId="164" fontId="9" fillId="0" borderId="4" xfId="8" applyNumberFormat="1" applyFont="1" applyBorder="1" applyAlignment="1">
      <alignment horizontal="center" vertical="center"/>
    </xf>
    <xf numFmtId="164" fontId="9" fillId="0" borderId="5" xfId="8" applyNumberFormat="1" applyFont="1" applyBorder="1" applyAlignment="1">
      <alignment horizontal="center" vertical="center"/>
    </xf>
    <xf numFmtId="0" fontId="8" fillId="0" borderId="10" xfId="4" applyFont="1" applyBorder="1" applyAlignment="1">
      <alignment horizontal="center" vertical="center"/>
    </xf>
    <xf numFmtId="164" fontId="12" fillId="0" borderId="52" xfId="8" applyNumberFormat="1" applyFont="1" applyBorder="1" applyAlignment="1">
      <alignment horizontal="center" vertical="center"/>
    </xf>
    <xf numFmtId="164" fontId="9" fillId="0" borderId="40" xfId="8" applyNumberFormat="1" applyFont="1" applyBorder="1" applyAlignment="1">
      <alignment horizontal="center" vertical="center"/>
    </xf>
    <xf numFmtId="0" fontId="8" fillId="0" borderId="1" xfId="4" applyFont="1" applyBorder="1" applyAlignment="1">
      <alignment horizontal="center" vertical="center"/>
    </xf>
    <xf numFmtId="0" fontId="8" fillId="0" borderId="0" xfId="4" applyFont="1" applyAlignment="1">
      <alignment horizontal="center" vertical="center"/>
    </xf>
    <xf numFmtId="0" fontId="8" fillId="0" borderId="2" xfId="4" applyFont="1" applyBorder="1" applyAlignment="1">
      <alignment horizontal="center" vertical="center"/>
    </xf>
    <xf numFmtId="0" fontId="11" fillId="11" borderId="21" xfId="4" applyFont="1" applyFill="1" applyBorder="1" applyAlignment="1">
      <alignment horizontal="center" vertical="center"/>
    </xf>
    <xf numFmtId="0" fontId="11" fillId="11" borderId="22" xfId="4" applyFont="1" applyFill="1" applyBorder="1" applyAlignment="1">
      <alignment horizontal="center" vertical="center"/>
    </xf>
    <xf numFmtId="0" fontId="10" fillId="7" borderId="42" xfId="4" applyFont="1" applyFill="1" applyBorder="1" applyAlignment="1">
      <alignment horizontal="center" vertical="center" wrapText="1"/>
    </xf>
    <xf numFmtId="0" fontId="10" fillId="7" borderId="10" xfId="4" applyFont="1" applyFill="1" applyBorder="1" applyAlignment="1">
      <alignment horizontal="center" vertical="center" wrapText="1"/>
    </xf>
    <xf numFmtId="0" fontId="10" fillId="7" borderId="11" xfId="4" applyFont="1" applyFill="1" applyBorder="1" applyAlignment="1">
      <alignment horizontal="center" vertical="center" wrapText="1"/>
    </xf>
    <xf numFmtId="0" fontId="11" fillId="10" borderId="21" xfId="4" applyFont="1" applyFill="1" applyBorder="1" applyAlignment="1">
      <alignment horizontal="center" vertical="center"/>
    </xf>
    <xf numFmtId="0" fontId="11" fillId="10" borderId="22" xfId="4" applyFont="1" applyFill="1" applyBorder="1" applyAlignment="1">
      <alignment horizontal="center" vertical="center"/>
    </xf>
    <xf numFmtId="0" fontId="11" fillId="10" borderId="21" xfId="4" applyFont="1" applyFill="1" applyBorder="1" applyAlignment="1">
      <alignment horizontal="center" vertical="center" wrapText="1"/>
    </xf>
    <xf numFmtId="0" fontId="11" fillId="10" borderId="22" xfId="4" applyFont="1" applyFill="1" applyBorder="1" applyAlignment="1">
      <alignment horizontal="center" vertical="center" wrapText="1"/>
    </xf>
    <xf numFmtId="0" fontId="11" fillId="10" borderId="23" xfId="4" applyFont="1" applyFill="1" applyBorder="1" applyAlignment="1">
      <alignment horizontal="center" vertical="center" wrapText="1"/>
    </xf>
    <xf numFmtId="49" fontId="11" fillId="0" borderId="21" xfId="4" applyNumberFormat="1" applyFont="1" applyBorder="1" applyAlignment="1">
      <alignment horizontal="center" vertical="center"/>
    </xf>
    <xf numFmtId="49" fontId="11" fillId="0" borderId="22" xfId="4" applyNumberFormat="1" applyFont="1" applyBorder="1" applyAlignment="1">
      <alignment horizontal="center" vertical="center"/>
    </xf>
    <xf numFmtId="49" fontId="11" fillId="0" borderId="23" xfId="4" applyNumberFormat="1" applyFont="1" applyBorder="1" applyAlignment="1">
      <alignment horizontal="center" vertical="center"/>
    </xf>
    <xf numFmtId="0" fontId="14" fillId="7" borderId="65" xfId="4" applyFont="1" applyFill="1" applyBorder="1" applyAlignment="1">
      <alignment horizontal="center" vertical="center"/>
    </xf>
    <xf numFmtId="0" fontId="8" fillId="7" borderId="56" xfId="4" applyFont="1" applyFill="1" applyBorder="1" applyAlignment="1">
      <alignment horizontal="center" vertical="center" wrapText="1"/>
    </xf>
    <xf numFmtId="0" fontId="8" fillId="7" borderId="46" xfId="4" applyFont="1" applyFill="1" applyBorder="1" applyAlignment="1">
      <alignment horizontal="center" vertical="center" wrapText="1"/>
    </xf>
    <xf numFmtId="0" fontId="18" fillId="9" borderId="48" xfId="4" applyFont="1" applyFill="1" applyBorder="1" applyAlignment="1">
      <alignment horizontal="center" vertical="center"/>
    </xf>
    <xf numFmtId="0" fontId="18" fillId="9" borderId="45" xfId="4" applyFont="1" applyFill="1" applyBorder="1" applyAlignment="1">
      <alignment horizontal="center" vertical="center"/>
    </xf>
    <xf numFmtId="0" fontId="14" fillId="9" borderId="54" xfId="4" applyFont="1" applyFill="1" applyBorder="1" applyAlignment="1">
      <alignment horizontal="center" vertical="center"/>
    </xf>
    <xf numFmtId="0" fontId="13" fillId="9" borderId="51" xfId="4" applyFont="1" applyFill="1" applyBorder="1" applyAlignment="1">
      <alignment horizontal="center" vertical="center"/>
    </xf>
    <xf numFmtId="0" fontId="13" fillId="9" borderId="16" xfId="4" applyFont="1" applyFill="1" applyBorder="1" applyAlignment="1">
      <alignment horizontal="center" vertical="center"/>
    </xf>
    <xf numFmtId="0" fontId="13" fillId="9" borderId="57" xfId="4" applyFont="1" applyFill="1" applyBorder="1" applyAlignment="1">
      <alignment horizontal="center" vertical="center"/>
    </xf>
    <xf numFmtId="0" fontId="10" fillId="9" borderId="54" xfId="4" quotePrefix="1" applyFont="1" applyFill="1" applyBorder="1" applyAlignment="1">
      <alignment horizontal="center" vertical="center"/>
    </xf>
    <xf numFmtId="0" fontId="14" fillId="7" borderId="54" xfId="4" applyFont="1" applyFill="1" applyBorder="1" applyAlignment="1">
      <alignment horizontal="center" vertical="center"/>
    </xf>
    <xf numFmtId="164" fontId="15" fillId="9" borderId="13" xfId="8" applyNumberFormat="1" applyFont="1" applyFill="1" applyBorder="1" applyAlignment="1">
      <alignment horizontal="center" vertical="center"/>
    </xf>
    <xf numFmtId="164" fontId="15" fillId="9" borderId="44" xfId="8" applyNumberFormat="1" applyFont="1" applyFill="1" applyBorder="1" applyAlignment="1">
      <alignment horizontal="center" vertical="center"/>
    </xf>
    <xf numFmtId="164" fontId="15" fillId="9" borderId="13" xfId="8" quotePrefix="1" applyNumberFormat="1" applyFont="1" applyFill="1" applyBorder="1" applyAlignment="1">
      <alignment horizontal="center" vertical="center"/>
    </xf>
    <xf numFmtId="164" fontId="15" fillId="9" borderId="58" xfId="8" quotePrefix="1" applyNumberFormat="1" applyFont="1" applyFill="1" applyBorder="1" applyAlignment="1">
      <alignment horizontal="center" vertical="center"/>
    </xf>
    <xf numFmtId="0" fontId="5" fillId="7" borderId="18" xfId="4" applyFont="1" applyFill="1" applyBorder="1" applyAlignment="1">
      <alignment horizontal="left" vertical="center" wrapText="1"/>
    </xf>
    <xf numFmtId="0" fontId="6" fillId="7" borderId="19" xfId="4" applyFont="1" applyFill="1" applyBorder="1" applyAlignment="1">
      <alignment horizontal="left" vertical="center" wrapText="1"/>
    </xf>
    <xf numFmtId="0" fontId="6" fillId="7" borderId="3" xfId="4" applyFont="1" applyFill="1" applyBorder="1" applyAlignment="1">
      <alignment horizontal="left" vertical="center" wrapText="1"/>
    </xf>
    <xf numFmtId="0" fontId="6" fillId="7" borderId="4" xfId="4" applyFont="1" applyFill="1" applyBorder="1" applyAlignment="1">
      <alignment horizontal="left" vertical="center" wrapText="1"/>
    </xf>
    <xf numFmtId="0" fontId="13" fillId="7" borderId="18" xfId="4" applyFont="1" applyFill="1" applyBorder="1" applyAlignment="1">
      <alignment horizontal="center" vertical="center" wrapText="1"/>
    </xf>
    <xf numFmtId="0" fontId="13" fillId="7" borderId="19" xfId="4" applyFont="1" applyFill="1" applyBorder="1" applyAlignment="1">
      <alignment horizontal="center" vertical="center" wrapText="1"/>
    </xf>
    <xf numFmtId="0" fontId="13" fillId="7" borderId="20" xfId="4" applyFont="1" applyFill="1" applyBorder="1" applyAlignment="1">
      <alignment horizontal="center" vertical="center" wrapText="1"/>
    </xf>
    <xf numFmtId="0" fontId="13" fillId="7" borderId="3" xfId="4" applyFont="1" applyFill="1" applyBorder="1" applyAlignment="1">
      <alignment horizontal="center" vertical="center" wrapText="1"/>
    </xf>
    <xf numFmtId="0" fontId="13" fillId="7" borderId="4" xfId="4" applyFont="1" applyFill="1" applyBorder="1" applyAlignment="1">
      <alignment horizontal="center" vertical="center" wrapText="1"/>
    </xf>
    <xf numFmtId="0" fontId="13" fillId="7" borderId="5" xfId="4" applyFont="1" applyFill="1" applyBorder="1" applyAlignment="1">
      <alignment horizontal="center" vertical="center" wrapText="1"/>
    </xf>
    <xf numFmtId="0" fontId="13" fillId="7" borderId="21" xfId="4" applyFont="1" applyFill="1" applyBorder="1" applyAlignment="1">
      <alignment horizontal="center" vertical="center"/>
    </xf>
    <xf numFmtId="0" fontId="13" fillId="7" borderId="22" xfId="4" applyFont="1" applyFill="1" applyBorder="1" applyAlignment="1">
      <alignment horizontal="center" vertical="center"/>
    </xf>
    <xf numFmtId="0" fontId="13" fillId="7" borderId="23" xfId="4" applyFont="1" applyFill="1" applyBorder="1" applyAlignment="1">
      <alignment horizontal="center" vertical="center"/>
    </xf>
    <xf numFmtId="0" fontId="10" fillId="7" borderId="51" xfId="4" applyFont="1" applyFill="1" applyBorder="1" applyAlignment="1">
      <alignment horizontal="center" vertical="center"/>
    </xf>
    <xf numFmtId="0" fontId="10" fillId="7" borderId="16" xfId="4" applyFont="1" applyFill="1" applyBorder="1" applyAlignment="1">
      <alignment horizontal="center" vertical="center"/>
    </xf>
    <xf numFmtId="0" fontId="10" fillId="7" borderId="17" xfId="4" applyFont="1" applyFill="1" applyBorder="1" applyAlignment="1">
      <alignment horizontal="center" vertical="center"/>
    </xf>
    <xf numFmtId="0" fontId="14" fillId="0" borderId="16" xfId="4" applyFont="1" applyBorder="1" applyAlignment="1">
      <alignment horizontal="left" vertical="center" wrapText="1"/>
    </xf>
    <xf numFmtId="0" fontId="14" fillId="0" borderId="57" xfId="4" applyFont="1" applyBorder="1" applyAlignment="1">
      <alignment horizontal="left" vertical="center" wrapText="1"/>
    </xf>
    <xf numFmtId="0" fontId="14" fillId="0" borderId="13" xfId="4" applyFont="1" applyBorder="1" applyAlignment="1">
      <alignment horizontal="left" vertical="center" wrapText="1"/>
    </xf>
    <xf numFmtId="0" fontId="14" fillId="0" borderId="58" xfId="4" applyFont="1" applyBorder="1" applyAlignment="1">
      <alignment horizontal="left" vertical="center" wrapText="1"/>
    </xf>
    <xf numFmtId="165" fontId="9" fillId="13" borderId="44" xfId="8" applyNumberFormat="1" applyFont="1" applyFill="1" applyBorder="1" applyAlignment="1">
      <alignment horizontal="center" vertical="center"/>
    </xf>
    <xf numFmtId="165" fontId="9" fillId="13" borderId="13" xfId="8" applyNumberFormat="1" applyFont="1" applyFill="1" applyBorder="1" applyAlignment="1">
      <alignment horizontal="center" vertical="center"/>
    </xf>
    <xf numFmtId="165" fontId="9" fillId="13" borderId="58" xfId="8" applyNumberFormat="1" applyFont="1" applyFill="1" applyBorder="1" applyAlignment="1">
      <alignment horizontal="center" vertical="center"/>
    </xf>
    <xf numFmtId="0" fontId="11" fillId="7" borderId="21" xfId="4" applyFont="1" applyFill="1" applyBorder="1" applyAlignment="1">
      <alignment horizontal="center" vertical="center"/>
    </xf>
    <xf numFmtId="0" fontId="11" fillId="7" borderId="22" xfId="4" applyFont="1" applyFill="1" applyBorder="1" applyAlignment="1">
      <alignment horizontal="center" vertical="center"/>
    </xf>
    <xf numFmtId="0" fontId="11" fillId="7" borderId="23" xfId="4" applyFont="1" applyFill="1" applyBorder="1" applyAlignment="1">
      <alignment horizontal="center" vertical="center"/>
    </xf>
    <xf numFmtId="0" fontId="11" fillId="7" borderId="21" xfId="4" applyFont="1" applyFill="1" applyBorder="1" applyAlignment="1">
      <alignment horizontal="left" vertical="center"/>
    </xf>
    <xf numFmtId="0" fontId="11" fillId="7" borderId="22" xfId="4" applyFont="1" applyFill="1" applyBorder="1" applyAlignment="1">
      <alignment horizontal="left" vertical="center"/>
    </xf>
    <xf numFmtId="0" fontId="11" fillId="7" borderId="23" xfId="4" applyFont="1" applyFill="1" applyBorder="1" applyAlignment="1">
      <alignment horizontal="left" vertical="center"/>
    </xf>
    <xf numFmtId="164" fontId="9" fillId="12" borderId="44" xfId="8" applyNumberFormat="1" applyFont="1" applyFill="1" applyBorder="1" applyAlignment="1">
      <alignment horizontal="center" vertical="center"/>
    </xf>
    <xf numFmtId="164" fontId="9" fillId="12" borderId="13" xfId="8" applyNumberFormat="1" applyFont="1" applyFill="1" applyBorder="1" applyAlignment="1">
      <alignment horizontal="center" vertical="center"/>
    </xf>
    <xf numFmtId="164" fontId="9" fillId="12" borderId="14" xfId="8" applyNumberFormat="1" applyFont="1" applyFill="1" applyBorder="1" applyAlignment="1">
      <alignment horizontal="center" vertical="center"/>
    </xf>
    <xf numFmtId="0" fontId="10" fillId="12" borderId="54" xfId="4" applyFont="1" applyFill="1" applyBorder="1" applyAlignment="1">
      <alignment horizontal="center" vertical="center"/>
    </xf>
    <xf numFmtId="0" fontId="10" fillId="12" borderId="67" xfId="4" applyFont="1" applyFill="1" applyBorder="1" applyAlignment="1">
      <alignment horizontal="center" vertical="center"/>
    </xf>
    <xf numFmtId="0" fontId="8" fillId="7" borderId="28" xfId="4" applyFont="1" applyFill="1" applyBorder="1" applyAlignment="1">
      <alignment horizontal="center" vertical="center" wrapText="1"/>
    </xf>
    <xf numFmtId="0" fontId="8" fillId="7" borderId="44" xfId="4" applyFont="1" applyFill="1" applyBorder="1" applyAlignment="1">
      <alignment horizontal="center" vertical="center" wrapText="1"/>
    </xf>
    <xf numFmtId="0" fontId="8" fillId="7" borderId="13" xfId="4" applyFont="1" applyFill="1" applyBorder="1" applyAlignment="1">
      <alignment horizontal="center" vertical="center" wrapText="1"/>
    </xf>
    <xf numFmtId="0" fontId="8" fillId="7" borderId="58" xfId="4" applyFont="1" applyFill="1" applyBorder="1" applyAlignment="1">
      <alignment horizontal="center" vertical="center" wrapText="1"/>
    </xf>
    <xf numFmtId="0" fontId="8" fillId="7" borderId="47" xfId="4" applyFont="1" applyFill="1" applyBorder="1" applyAlignment="1">
      <alignment horizontal="center" vertical="center" wrapText="1"/>
    </xf>
    <xf numFmtId="0" fontId="8" fillId="7" borderId="49" xfId="4" applyFont="1" applyFill="1" applyBorder="1" applyAlignment="1">
      <alignment horizontal="center" vertical="center" wrapText="1"/>
    </xf>
    <xf numFmtId="0" fontId="8" fillId="7" borderId="60" xfId="4" applyFont="1" applyFill="1" applyBorder="1" applyAlignment="1">
      <alignment horizontal="center" vertical="center" wrapText="1"/>
    </xf>
    <xf numFmtId="0" fontId="8" fillId="7" borderId="47" xfId="4" applyFont="1" applyFill="1" applyBorder="1" applyAlignment="1">
      <alignment horizontal="center" vertical="center"/>
    </xf>
    <xf numFmtId="0" fontId="8" fillId="7" borderId="49" xfId="4" applyFont="1" applyFill="1" applyBorder="1" applyAlignment="1">
      <alignment horizontal="center" vertical="center"/>
    </xf>
    <xf numFmtId="0" fontId="8" fillId="7" borderId="60" xfId="4" applyFont="1" applyFill="1" applyBorder="1" applyAlignment="1">
      <alignment horizontal="center" vertical="center"/>
    </xf>
    <xf numFmtId="0" fontId="8" fillId="7" borderId="28" xfId="4" applyFont="1" applyFill="1" applyBorder="1" applyAlignment="1">
      <alignment horizontal="center" vertical="center"/>
    </xf>
    <xf numFmtId="0" fontId="8" fillId="7" borderId="0" xfId="4" applyFont="1" applyFill="1" applyAlignment="1">
      <alignment horizontal="center" vertical="center"/>
    </xf>
    <xf numFmtId="0" fontId="8" fillId="7" borderId="59" xfId="4" applyFont="1" applyFill="1" applyBorder="1" applyAlignment="1">
      <alignment horizontal="center" vertical="center"/>
    </xf>
    <xf numFmtId="0" fontId="10" fillId="7" borderId="47" xfId="4" applyFont="1" applyFill="1" applyBorder="1" applyAlignment="1">
      <alignment horizontal="center" vertical="center"/>
    </xf>
    <xf numFmtId="0" fontId="10" fillId="7" borderId="49" xfId="4" applyFont="1" applyFill="1" applyBorder="1" applyAlignment="1">
      <alignment horizontal="center" vertical="center"/>
    </xf>
    <xf numFmtId="0" fontId="10" fillId="7" borderId="66" xfId="4" applyFont="1" applyFill="1" applyBorder="1" applyAlignment="1">
      <alignment horizontal="center" vertical="center"/>
    </xf>
    <xf numFmtId="164" fontId="15" fillId="5" borderId="51" xfId="5" applyNumberFormat="1" applyFont="1" applyFill="1" applyBorder="1" applyAlignment="1">
      <alignment horizontal="center" vertical="center"/>
    </xf>
    <xf numFmtId="164" fontId="15" fillId="5" borderId="16" xfId="5" applyNumberFormat="1" applyFont="1" applyFill="1" applyBorder="1" applyAlignment="1">
      <alignment horizontal="center" vertical="center"/>
    </xf>
    <xf numFmtId="164" fontId="15" fillId="5" borderId="17" xfId="5" applyNumberFormat="1" applyFont="1" applyFill="1" applyBorder="1" applyAlignment="1">
      <alignment horizontal="center" vertical="center"/>
    </xf>
    <xf numFmtId="164" fontId="15" fillId="5" borderId="44" xfId="5" applyNumberFormat="1" applyFont="1" applyFill="1" applyBorder="1" applyAlignment="1">
      <alignment horizontal="center" vertical="center"/>
    </xf>
    <xf numFmtId="164" fontId="15" fillId="5" borderId="13" xfId="5" applyNumberFormat="1" applyFont="1" applyFill="1" applyBorder="1" applyAlignment="1">
      <alignment horizontal="center" vertical="center"/>
    </xf>
    <xf numFmtId="164" fontId="15" fillId="5" borderId="14" xfId="5" applyNumberFormat="1" applyFont="1" applyFill="1" applyBorder="1" applyAlignment="1">
      <alignment horizontal="center" vertical="center"/>
    </xf>
    <xf numFmtId="0" fontId="11" fillId="7" borderId="51" xfId="4" applyFont="1" applyFill="1" applyBorder="1" applyAlignment="1">
      <alignment horizontal="center" vertical="center"/>
    </xf>
    <xf numFmtId="0" fontId="11" fillId="7" borderId="16" xfId="4" applyFont="1" applyFill="1" applyBorder="1" applyAlignment="1">
      <alignment horizontal="center" vertical="center"/>
    </xf>
    <xf numFmtId="0" fontId="11" fillId="7" borderId="17" xfId="4" applyFont="1" applyFill="1" applyBorder="1" applyAlignment="1">
      <alignment horizontal="center" vertical="center"/>
    </xf>
    <xf numFmtId="164" fontId="15" fillId="5" borderId="47" xfId="5" applyNumberFormat="1" applyFont="1" applyFill="1" applyBorder="1" applyAlignment="1">
      <alignment horizontal="center" vertical="center"/>
    </xf>
    <xf numFmtId="164" fontId="15" fillId="5" borderId="49" xfId="5" applyNumberFormat="1" applyFont="1" applyFill="1" applyBorder="1" applyAlignment="1">
      <alignment horizontal="center" vertical="center"/>
    </xf>
    <xf numFmtId="164" fontId="15" fillId="5" borderId="66" xfId="5" applyNumberFormat="1" applyFont="1" applyFill="1" applyBorder="1" applyAlignment="1">
      <alignment horizontal="center" vertical="center"/>
    </xf>
    <xf numFmtId="164" fontId="9" fillId="5" borderId="42" xfId="5" applyNumberFormat="1" applyFont="1" applyFill="1" applyBorder="1" applyAlignment="1">
      <alignment horizontal="center" vertical="center"/>
    </xf>
    <xf numFmtId="164" fontId="9" fillId="5" borderId="10" xfId="5" applyNumberFormat="1" applyFont="1" applyFill="1" applyBorder="1" applyAlignment="1">
      <alignment horizontal="center" vertical="center"/>
    </xf>
    <xf numFmtId="164" fontId="9" fillId="5" borderId="43" xfId="5" applyNumberFormat="1" applyFont="1" applyFill="1" applyBorder="1" applyAlignment="1">
      <alignment horizontal="center" vertical="center"/>
    </xf>
    <xf numFmtId="164" fontId="9" fillId="0" borderId="54" xfId="5" applyNumberFormat="1" applyFont="1" applyBorder="1" applyAlignment="1">
      <alignment horizontal="center" vertical="center"/>
    </xf>
    <xf numFmtId="164" fontId="9" fillId="0" borderId="51" xfId="5" applyNumberFormat="1" applyFont="1" applyBorder="1" applyAlignment="1">
      <alignment horizontal="center" vertical="center"/>
    </xf>
    <xf numFmtId="164" fontId="9" fillId="0" borderId="16" xfId="5" applyNumberFormat="1" applyFont="1" applyBorder="1" applyAlignment="1">
      <alignment horizontal="center" vertical="center"/>
    </xf>
    <xf numFmtId="164" fontId="9" fillId="0" borderId="57" xfId="5" applyNumberFormat="1" applyFont="1" applyBorder="1" applyAlignment="1">
      <alignment horizontal="center" vertical="center"/>
    </xf>
    <xf numFmtId="164" fontId="9" fillId="0" borderId="17" xfId="5" applyNumberFormat="1" applyFont="1" applyBorder="1" applyAlignment="1">
      <alignment horizontal="center" vertical="center"/>
    </xf>
    <xf numFmtId="49" fontId="8" fillId="7" borderId="47" xfId="4" applyNumberFormat="1" applyFont="1" applyFill="1" applyBorder="1" applyAlignment="1">
      <alignment horizontal="center" vertical="center" wrapText="1"/>
    </xf>
    <xf numFmtId="49" fontId="8" fillId="7" borderId="49" xfId="4" applyNumberFormat="1" applyFont="1" applyFill="1" applyBorder="1" applyAlignment="1">
      <alignment horizontal="center" vertical="center" wrapText="1"/>
    </xf>
    <xf numFmtId="49" fontId="8" fillId="7" borderId="60" xfId="4" applyNumberFormat="1" applyFont="1" applyFill="1" applyBorder="1" applyAlignment="1">
      <alignment horizontal="center" vertical="center" wrapText="1"/>
    </xf>
    <xf numFmtId="49" fontId="8" fillId="7" borderId="44" xfId="4" applyNumberFormat="1" applyFont="1" applyFill="1" applyBorder="1" applyAlignment="1">
      <alignment horizontal="center" vertical="center" wrapText="1"/>
    </xf>
    <xf numFmtId="49" fontId="8" fillId="7" borderId="13" xfId="4" applyNumberFormat="1" applyFont="1" applyFill="1" applyBorder="1" applyAlignment="1">
      <alignment horizontal="center" vertical="center" wrapText="1"/>
    </xf>
    <xf numFmtId="49" fontId="8" fillId="7" borderId="58" xfId="4" applyNumberFormat="1" applyFont="1" applyFill="1" applyBorder="1" applyAlignment="1">
      <alignment horizontal="center" vertical="center" wrapText="1"/>
    </xf>
    <xf numFmtId="164" fontId="9" fillId="0" borderId="45" xfId="5" applyNumberFormat="1" applyFont="1" applyBorder="1" applyAlignment="1">
      <alignment horizontal="center" vertical="center"/>
    </xf>
    <xf numFmtId="164" fontId="9" fillId="0" borderId="27" xfId="5" applyNumberFormat="1" applyFont="1" applyBorder="1" applyAlignment="1">
      <alignment horizontal="center" vertical="center"/>
    </xf>
    <xf numFmtId="164" fontId="9" fillId="0" borderId="19" xfId="5" applyNumberFormat="1" applyFont="1" applyBorder="1" applyAlignment="1">
      <alignment horizontal="center" vertical="center"/>
    </xf>
    <xf numFmtId="164" fontId="9" fillId="0" borderId="70" xfId="5" applyNumberFormat="1" applyFont="1" applyBorder="1" applyAlignment="1">
      <alignment horizontal="center" vertical="center"/>
    </xf>
    <xf numFmtId="164" fontId="9" fillId="0" borderId="42" xfId="5" applyNumberFormat="1" applyFont="1" applyBorder="1" applyAlignment="1">
      <alignment horizontal="center" vertical="center"/>
    </xf>
    <xf numFmtId="164" fontId="9" fillId="0" borderId="10" xfId="5" applyNumberFormat="1" applyFont="1" applyBorder="1" applyAlignment="1">
      <alignment horizontal="center" vertical="center"/>
    </xf>
    <xf numFmtId="164" fontId="9" fillId="0" borderId="11" xfId="5" applyNumberFormat="1" applyFont="1" applyBorder="1" applyAlignment="1">
      <alignment horizontal="center" vertical="center"/>
    </xf>
    <xf numFmtId="0" fontId="14" fillId="7" borderId="48" xfId="4" applyFont="1" applyFill="1" applyBorder="1" applyAlignment="1">
      <alignment horizontal="center" vertical="center"/>
    </xf>
    <xf numFmtId="0" fontId="14" fillId="7" borderId="45" xfId="4" applyFont="1" applyFill="1" applyBorder="1" applyAlignment="1">
      <alignment horizontal="center" vertical="center"/>
    </xf>
    <xf numFmtId="0" fontId="14" fillId="9" borderId="51" xfId="4" applyFont="1" applyFill="1" applyBorder="1" applyAlignment="1">
      <alignment horizontal="center" vertical="center"/>
    </xf>
    <xf numFmtId="0" fontId="14" fillId="9" borderId="16" xfId="4" applyFont="1" applyFill="1" applyBorder="1" applyAlignment="1">
      <alignment horizontal="center" vertical="center"/>
    </xf>
    <xf numFmtId="0" fontId="14" fillId="9" borderId="57" xfId="4" applyFont="1" applyFill="1" applyBorder="1" applyAlignment="1">
      <alignment horizontal="center" vertical="center"/>
    </xf>
    <xf numFmtId="164" fontId="12" fillId="0" borderId="52" xfId="5" applyNumberFormat="1" applyFont="1" applyBorder="1" applyAlignment="1">
      <alignment horizontal="center" vertical="center"/>
    </xf>
    <xf numFmtId="164" fontId="12" fillId="0" borderId="22" xfId="5" applyNumberFormat="1" applyFont="1" applyBorder="1" applyAlignment="1">
      <alignment horizontal="center" vertical="center"/>
    </xf>
    <xf numFmtId="164" fontId="12" fillId="0" borderId="55" xfId="5" applyNumberFormat="1" applyFont="1" applyBorder="1" applyAlignment="1">
      <alignment horizontal="center" vertical="center"/>
    </xf>
    <xf numFmtId="164" fontId="9" fillId="0" borderId="38" xfId="5" applyNumberFormat="1" applyFont="1" applyBorder="1" applyAlignment="1">
      <alignment horizontal="center" vertical="center"/>
    </xf>
    <xf numFmtId="164" fontId="9" fillId="0" borderId="32" xfId="5" applyNumberFormat="1" applyFont="1" applyBorder="1" applyAlignment="1">
      <alignment horizontal="center" vertical="center"/>
    </xf>
    <xf numFmtId="164" fontId="9" fillId="0" borderId="40" xfId="5" applyNumberFormat="1" applyFont="1" applyBorder="1" applyAlignment="1">
      <alignment horizontal="center" vertical="center"/>
    </xf>
    <xf numFmtId="164" fontId="9" fillId="0" borderId="44" xfId="5" applyNumberFormat="1" applyFont="1" applyBorder="1" applyAlignment="1">
      <alignment horizontal="center" vertical="center"/>
    </xf>
    <xf numFmtId="164" fontId="9" fillId="0" borderId="13" xfId="5" applyNumberFormat="1" applyFont="1" applyBorder="1" applyAlignment="1">
      <alignment horizontal="center" vertical="center"/>
    </xf>
    <xf numFmtId="164" fontId="9" fillId="0" borderId="58" xfId="5" applyNumberFormat="1" applyFont="1" applyBorder="1" applyAlignment="1">
      <alignment horizontal="center" vertical="center"/>
    </xf>
    <xf numFmtId="49" fontId="8" fillId="7" borderId="27" xfId="4" applyNumberFormat="1" applyFont="1" applyFill="1" applyBorder="1" applyAlignment="1">
      <alignment horizontal="center" vertical="center" wrapText="1"/>
    </xf>
    <xf numFmtId="49" fontId="8" fillId="7" borderId="19" xfId="4" applyNumberFormat="1" applyFont="1" applyFill="1" applyBorder="1" applyAlignment="1">
      <alignment horizontal="center" vertical="center" wrapText="1"/>
    </xf>
    <xf numFmtId="49" fontId="8" fillId="7" borderId="20" xfId="4" applyNumberFormat="1" applyFont="1" applyFill="1" applyBorder="1" applyAlignment="1">
      <alignment horizontal="center" vertical="center" wrapText="1"/>
    </xf>
    <xf numFmtId="49" fontId="8" fillId="7" borderId="14" xfId="4" applyNumberFormat="1" applyFont="1" applyFill="1" applyBorder="1" applyAlignment="1">
      <alignment horizontal="center" vertical="center" wrapText="1"/>
    </xf>
    <xf numFmtId="49" fontId="10" fillId="7" borderId="47" xfId="4" applyNumberFormat="1" applyFont="1" applyFill="1" applyBorder="1" applyAlignment="1">
      <alignment horizontal="center" vertical="center" wrapText="1"/>
    </xf>
    <xf numFmtId="49" fontId="10" fillId="7" borderId="49" xfId="4" applyNumberFormat="1" applyFont="1" applyFill="1" applyBorder="1" applyAlignment="1">
      <alignment horizontal="center" vertical="center" wrapText="1"/>
    </xf>
    <xf numFmtId="49" fontId="10" fillId="7" borderId="66" xfId="4" applyNumberFormat="1" applyFont="1" applyFill="1" applyBorder="1" applyAlignment="1">
      <alignment horizontal="center" vertical="center" wrapText="1"/>
    </xf>
    <xf numFmtId="49" fontId="10" fillId="7" borderId="28" xfId="4" applyNumberFormat="1" applyFont="1" applyFill="1" applyBorder="1" applyAlignment="1">
      <alignment horizontal="center" vertical="center" wrapText="1"/>
    </xf>
    <xf numFmtId="49" fontId="10" fillId="7" borderId="0" xfId="4" applyNumberFormat="1" applyFont="1" applyFill="1" applyAlignment="1">
      <alignment horizontal="center" vertical="center" wrapText="1"/>
    </xf>
    <xf numFmtId="49" fontId="10" fillId="7" borderId="2" xfId="4" applyNumberFormat="1" applyFont="1" applyFill="1" applyBorder="1" applyAlignment="1">
      <alignment horizontal="center" vertical="center" wrapText="1"/>
    </xf>
    <xf numFmtId="49" fontId="10" fillId="7" borderId="30" xfId="4" applyNumberFormat="1" applyFont="1" applyFill="1" applyBorder="1" applyAlignment="1">
      <alignment horizontal="center" vertical="center" wrapText="1"/>
    </xf>
    <xf numFmtId="49" fontId="10" fillId="7" borderId="4" xfId="4" applyNumberFormat="1" applyFont="1" applyFill="1" applyBorder="1" applyAlignment="1">
      <alignment horizontal="center" vertical="center" wrapText="1"/>
    </xf>
    <xf numFmtId="49" fontId="10" fillId="7" borderId="5" xfId="4" applyNumberFormat="1" applyFont="1" applyFill="1" applyBorder="1" applyAlignment="1">
      <alignment horizontal="center" vertical="center" wrapText="1"/>
    </xf>
    <xf numFmtId="164" fontId="9" fillId="0" borderId="43" xfId="5" applyNumberFormat="1" applyFont="1" applyBorder="1" applyAlignment="1">
      <alignment horizontal="center" vertical="center"/>
    </xf>
    <xf numFmtId="169" fontId="10" fillId="5" borderId="51" xfId="1" applyNumberFormat="1" applyFont="1" applyFill="1" applyBorder="1" applyAlignment="1">
      <alignment horizontal="center" vertical="center"/>
    </xf>
    <xf numFmtId="169" fontId="10" fillId="5" borderId="16" xfId="1" applyNumberFormat="1" applyFont="1" applyFill="1" applyBorder="1" applyAlignment="1">
      <alignment horizontal="center" vertical="center"/>
    </xf>
    <xf numFmtId="169" fontId="10" fillId="5" borderId="57" xfId="1" applyNumberFormat="1" applyFont="1" applyFill="1" applyBorder="1" applyAlignment="1">
      <alignment horizontal="center" vertical="center"/>
    </xf>
    <xf numFmtId="0" fontId="4" fillId="0" borderId="51" xfId="4" applyBorder="1" applyAlignment="1">
      <alignment horizontal="right" vertical="center"/>
    </xf>
    <xf numFmtId="0" fontId="4" fillId="0" borderId="16" xfId="4" applyBorder="1" applyAlignment="1">
      <alignment horizontal="right" vertical="center"/>
    </xf>
    <xf numFmtId="0" fontId="4" fillId="0" borderId="57" xfId="4" applyBorder="1" applyAlignment="1">
      <alignment horizontal="right" vertical="center"/>
    </xf>
    <xf numFmtId="0" fontId="4" fillId="0" borderId="15" xfId="4" applyBorder="1" applyAlignment="1">
      <alignment horizontal="right" vertical="center"/>
    </xf>
    <xf numFmtId="0" fontId="11" fillId="0" borderId="51" xfId="4" applyFont="1" applyBorder="1" applyAlignment="1">
      <alignment horizontal="center" vertical="top" wrapText="1"/>
    </xf>
    <xf numFmtId="0" fontId="11" fillId="0" borderId="16" xfId="4" applyFont="1" applyBorder="1" applyAlignment="1">
      <alignment horizontal="center" vertical="top" wrapText="1"/>
    </xf>
    <xf numFmtId="0" fontId="11" fillId="0" borderId="57" xfId="4" applyFont="1" applyBorder="1" applyAlignment="1">
      <alignment horizontal="center" vertical="top" wrapText="1"/>
    </xf>
    <xf numFmtId="164" fontId="12" fillId="0" borderId="51" xfId="5" applyNumberFormat="1" applyFont="1" applyBorder="1" applyAlignment="1">
      <alignment horizontal="center" vertical="center"/>
    </xf>
    <xf numFmtId="164" fontId="12" fillId="0" borderId="16" xfId="5" applyNumberFormat="1" applyFont="1" applyBorder="1" applyAlignment="1">
      <alignment horizontal="center" vertical="center"/>
    </xf>
    <xf numFmtId="164" fontId="12" fillId="0" borderId="17" xfId="5" applyNumberFormat="1" applyFont="1" applyBorder="1" applyAlignment="1">
      <alignment horizontal="center" vertical="center"/>
    </xf>
    <xf numFmtId="164" fontId="9" fillId="0" borderId="51" xfId="5" quotePrefix="1" applyNumberFormat="1" applyFont="1" applyBorder="1" applyAlignment="1">
      <alignment horizontal="center" vertical="center"/>
    </xf>
    <xf numFmtId="164" fontId="12" fillId="0" borderId="57" xfId="5" applyNumberFormat="1" applyFont="1" applyBorder="1" applyAlignment="1">
      <alignment horizontal="center" vertical="center"/>
    </xf>
    <xf numFmtId="164" fontId="9" fillId="5" borderId="51" xfId="5" applyNumberFormat="1" applyFont="1" applyFill="1" applyBorder="1" applyAlignment="1">
      <alignment horizontal="center" vertical="center"/>
    </xf>
    <xf numFmtId="164" fontId="9" fillId="5" borderId="16" xfId="5" applyNumberFormat="1" applyFont="1" applyFill="1" applyBorder="1" applyAlignment="1">
      <alignment horizontal="center" vertical="center"/>
    </xf>
    <xf numFmtId="164" fontId="9" fillId="5" borderId="17" xfId="5" applyNumberFormat="1" applyFont="1" applyFill="1" applyBorder="1" applyAlignment="1">
      <alignment horizontal="center" vertical="center"/>
    </xf>
    <xf numFmtId="0" fontId="11" fillId="7" borderId="18" xfId="4" applyFont="1" applyFill="1" applyBorder="1" applyAlignment="1">
      <alignment horizontal="center" vertical="center"/>
    </xf>
    <xf numFmtId="0" fontId="11" fillId="7" borderId="19" xfId="4" applyFont="1" applyFill="1" applyBorder="1" applyAlignment="1">
      <alignment horizontal="center" vertical="center"/>
    </xf>
    <xf numFmtId="0" fontId="11" fillId="7" borderId="20" xfId="4" applyFont="1" applyFill="1" applyBorder="1" applyAlignment="1">
      <alignment horizontal="center" vertical="center"/>
    </xf>
    <xf numFmtId="164" fontId="12" fillId="0" borderId="23" xfId="5" applyNumberFormat="1" applyFont="1" applyBorder="1" applyAlignment="1">
      <alignment horizontal="center" vertical="center"/>
    </xf>
    <xf numFmtId="0" fontId="14" fillId="0" borderId="47" xfId="4" applyFont="1" applyBorder="1" applyAlignment="1">
      <alignment horizontal="center" vertical="center" wrapText="1"/>
    </xf>
    <xf numFmtId="0" fontId="14" fillId="0" borderId="49" xfId="4" applyFont="1" applyBorder="1" applyAlignment="1">
      <alignment horizontal="center" vertical="center" wrapText="1"/>
    </xf>
    <xf numFmtId="0" fontId="14" fillId="0" borderId="60" xfId="4" applyFont="1" applyBorder="1" applyAlignment="1">
      <alignment horizontal="center" vertical="center" wrapText="1"/>
    </xf>
    <xf numFmtId="0" fontId="14" fillId="0" borderId="28" xfId="4" applyFont="1" applyBorder="1" applyAlignment="1">
      <alignment horizontal="center" vertical="center" wrapText="1"/>
    </xf>
    <xf numFmtId="0" fontId="14" fillId="0" borderId="0" xfId="4" applyFont="1" applyAlignment="1">
      <alignment horizontal="center" vertical="center" wrapText="1"/>
    </xf>
    <xf numFmtId="0" fontId="14" fillId="0" borderId="59" xfId="4" applyFont="1" applyBorder="1" applyAlignment="1">
      <alignment horizontal="center" vertical="center" wrapText="1"/>
    </xf>
    <xf numFmtId="0" fontId="14" fillId="0" borderId="44" xfId="4" applyFont="1" applyBorder="1" applyAlignment="1">
      <alignment horizontal="center" vertical="center" wrapText="1"/>
    </xf>
    <xf numFmtId="0" fontId="14" fillId="0" borderId="13" xfId="4" applyFont="1" applyBorder="1" applyAlignment="1">
      <alignment horizontal="center" vertical="center" wrapText="1"/>
    </xf>
    <xf numFmtId="0" fontId="14" fillId="0" borderId="58" xfId="4" applyFont="1" applyBorder="1" applyAlignment="1">
      <alignment horizontal="center" vertical="center" wrapText="1"/>
    </xf>
    <xf numFmtId="164" fontId="9" fillId="0" borderId="31" xfId="5" applyNumberFormat="1" applyFont="1" applyBorder="1" applyAlignment="1">
      <alignment horizontal="center" vertical="center"/>
    </xf>
    <xf numFmtId="0" fontId="8" fillId="0" borderId="43" xfId="4" applyFont="1" applyBorder="1" applyAlignment="1">
      <alignment horizontal="center" vertical="center"/>
    </xf>
    <xf numFmtId="49" fontId="9" fillId="0" borderId="16" xfId="4" applyNumberFormat="1" applyFont="1" applyBorder="1" applyAlignment="1">
      <alignment horizontal="center" vertical="center"/>
    </xf>
    <xf numFmtId="0" fontId="9" fillId="0" borderId="16" xfId="4" applyFont="1" applyBorder="1" applyAlignment="1">
      <alignment horizontal="center" vertical="center"/>
    </xf>
    <xf numFmtId="0" fontId="8" fillId="0" borderId="18" xfId="4" applyFont="1" applyBorder="1" applyAlignment="1">
      <alignment horizontal="center" vertical="center"/>
    </xf>
    <xf numFmtId="0" fontId="8" fillId="0" borderId="19" xfId="4" applyFont="1" applyBorder="1" applyAlignment="1">
      <alignment horizontal="center" vertical="center"/>
    </xf>
    <xf numFmtId="0" fontId="8" fillId="0" borderId="20" xfId="4" applyFont="1" applyBorder="1" applyAlignment="1">
      <alignment horizontal="center" vertical="center"/>
    </xf>
    <xf numFmtId="49" fontId="9" fillId="0" borderId="15" xfId="4" applyNumberFormat="1" applyFont="1" applyBorder="1" applyAlignment="1">
      <alignment horizontal="center" vertical="center"/>
    </xf>
    <xf numFmtId="0" fontId="9" fillId="0" borderId="17" xfId="4" applyFont="1" applyBorder="1" applyAlignment="1">
      <alignment horizontal="center" vertical="center"/>
    </xf>
    <xf numFmtId="164" fontId="9" fillId="0" borderId="22" xfId="5" applyNumberFormat="1" applyFont="1" applyBorder="1" applyAlignment="1">
      <alignment horizontal="center" vertical="center"/>
    </xf>
    <xf numFmtId="164" fontId="9" fillId="0" borderId="23" xfId="5" applyNumberFormat="1" applyFont="1" applyBorder="1" applyAlignment="1">
      <alignment horizontal="center" vertical="center"/>
    </xf>
    <xf numFmtId="164" fontId="9" fillId="0" borderId="52" xfId="5" applyNumberFormat="1" applyFont="1" applyBorder="1" applyAlignment="1">
      <alignment horizontal="center" vertical="center"/>
    </xf>
    <xf numFmtId="0" fontId="11" fillId="0" borderId="21" xfId="4" applyFont="1" applyBorder="1" applyAlignment="1">
      <alignment horizontal="center" vertical="center" wrapText="1"/>
    </xf>
    <xf numFmtId="0" fontId="11" fillId="0" borderId="22" xfId="4" applyFont="1" applyBorder="1" applyAlignment="1">
      <alignment horizontal="center" vertical="center" wrapText="1"/>
    </xf>
    <xf numFmtId="0" fontId="11" fillId="0" borderId="23" xfId="4" applyFont="1" applyBorder="1" applyAlignment="1">
      <alignment horizontal="center" vertical="center" wrapText="1"/>
    </xf>
    <xf numFmtId="0" fontId="11" fillId="0" borderId="21" xfId="4" applyFont="1" applyBorder="1" applyAlignment="1">
      <alignment horizontal="center" vertical="center"/>
    </xf>
    <xf numFmtId="0" fontId="11" fillId="0" borderId="22" xfId="4" applyFont="1" applyBorder="1" applyAlignment="1">
      <alignment horizontal="center" vertical="center"/>
    </xf>
    <xf numFmtId="0" fontId="11" fillId="0" borderId="23" xfId="4" applyFont="1" applyBorder="1" applyAlignment="1">
      <alignment horizontal="center" vertical="center"/>
    </xf>
    <xf numFmtId="49" fontId="11" fillId="8" borderId="21" xfId="4" applyNumberFormat="1" applyFont="1" applyFill="1" applyBorder="1" applyAlignment="1">
      <alignment horizontal="center" vertical="center"/>
    </xf>
    <xf numFmtId="49" fontId="11" fillId="8" borderId="22" xfId="4" applyNumberFormat="1" applyFont="1" applyFill="1" applyBorder="1" applyAlignment="1">
      <alignment horizontal="center" vertical="center"/>
    </xf>
    <xf numFmtId="0" fontId="11" fillId="8" borderId="21" xfId="4" applyFont="1" applyFill="1" applyBorder="1" applyAlignment="1">
      <alignment horizontal="center" vertical="center"/>
    </xf>
    <xf numFmtId="0" fontId="11" fillId="8" borderId="22" xfId="4" applyFont="1" applyFill="1" applyBorder="1" applyAlignment="1">
      <alignment horizontal="center" vertical="center"/>
    </xf>
    <xf numFmtId="164" fontId="12" fillId="0" borderId="54" xfId="5" applyNumberFormat="1" applyFont="1" applyBorder="1" applyAlignment="1">
      <alignment horizontal="center" vertical="center"/>
    </xf>
    <xf numFmtId="164" fontId="12" fillId="0" borderId="67" xfId="5" applyNumberFormat="1" applyFont="1" applyBorder="1" applyAlignment="1">
      <alignment horizontal="center" vertical="center"/>
    </xf>
    <xf numFmtId="164" fontId="12" fillId="0" borderId="38" xfId="5" applyNumberFormat="1" applyFont="1" applyBorder="1" applyAlignment="1">
      <alignment horizontal="center" vertical="center"/>
    </xf>
    <xf numFmtId="164" fontId="12" fillId="0" borderId="32" xfId="5" applyNumberFormat="1" applyFont="1" applyBorder="1" applyAlignment="1">
      <alignment horizontal="center" vertical="center"/>
    </xf>
    <xf numFmtId="164" fontId="12" fillId="0" borderId="31" xfId="5" applyNumberFormat="1" applyFont="1" applyBorder="1" applyAlignment="1">
      <alignment horizontal="center" vertical="center"/>
    </xf>
    <xf numFmtId="0" fontId="14" fillId="0" borderId="50" xfId="4" applyFont="1" applyBorder="1" applyAlignment="1">
      <alignment horizontal="center" vertical="center" wrapText="1"/>
    </xf>
    <xf numFmtId="0" fontId="14" fillId="0" borderId="1" xfId="4" applyFont="1" applyBorder="1" applyAlignment="1">
      <alignment horizontal="center" vertical="center" wrapText="1"/>
    </xf>
    <xf numFmtId="0" fontId="14" fillId="0" borderId="12" xfId="4" applyFont="1" applyBorder="1" applyAlignment="1">
      <alignment horizontal="center" vertical="center" wrapText="1"/>
    </xf>
    <xf numFmtId="2" fontId="8" fillId="0" borderId="16" xfId="4" applyNumberFormat="1" applyFont="1" applyBorder="1" applyAlignment="1">
      <alignment horizontal="center" vertical="center" wrapText="1"/>
    </xf>
    <xf numFmtId="0" fontId="4" fillId="0" borderId="15" xfId="4" applyBorder="1" applyAlignment="1">
      <alignment horizontal="right" vertical="center" wrapText="1"/>
    </xf>
    <xf numFmtId="164" fontId="12" fillId="5" borderId="51" xfId="5" applyNumberFormat="1" applyFont="1" applyFill="1" applyBorder="1" applyAlignment="1">
      <alignment horizontal="center" vertical="center"/>
    </xf>
    <xf numFmtId="164" fontId="12" fillId="5" borderId="16" xfId="5" applyNumberFormat="1" applyFont="1" applyFill="1" applyBorder="1" applyAlignment="1">
      <alignment horizontal="center" vertical="center"/>
    </xf>
    <xf numFmtId="164" fontId="12" fillId="5" borderId="57" xfId="5" applyNumberFormat="1" applyFont="1" applyFill="1" applyBorder="1" applyAlignment="1">
      <alignment horizontal="center" vertical="center"/>
    </xf>
    <xf numFmtId="0" fontId="8" fillId="0" borderId="16" xfId="4" applyFont="1" applyBorder="1" applyAlignment="1">
      <alignment vertical="top"/>
    </xf>
    <xf numFmtId="0" fontId="8" fillId="0" borderId="57" xfId="4" applyFont="1" applyBorder="1" applyAlignment="1">
      <alignment vertical="top"/>
    </xf>
    <xf numFmtId="0" fontId="8" fillId="0" borderId="17" xfId="4" applyFont="1" applyBorder="1" applyAlignment="1">
      <alignment vertical="top"/>
    </xf>
    <xf numFmtId="0" fontId="11" fillId="0" borderId="15" xfId="4" applyFont="1" applyBorder="1" applyAlignment="1">
      <alignment horizontal="center" vertical="top" wrapText="1"/>
    </xf>
    <xf numFmtId="164" fontId="9" fillId="0" borderId="51" xfId="5" applyNumberFormat="1" applyFont="1" applyFill="1" applyBorder="1" applyAlignment="1">
      <alignment horizontal="center" vertical="center"/>
    </xf>
    <xf numFmtId="164" fontId="9" fillId="0" borderId="16" xfId="5" applyNumberFormat="1" applyFont="1" applyFill="1" applyBorder="1" applyAlignment="1">
      <alignment horizontal="center" vertical="center"/>
    </xf>
    <xf numFmtId="164" fontId="9" fillId="0" borderId="17" xfId="5" applyNumberFormat="1" applyFont="1" applyFill="1" applyBorder="1" applyAlignment="1">
      <alignment horizontal="center" vertical="center"/>
    </xf>
    <xf numFmtId="0" fontId="4" fillId="7" borderId="19" xfId="4" applyFill="1" applyBorder="1" applyAlignment="1">
      <alignment horizontal="left" vertical="center" wrapText="1"/>
    </xf>
    <xf numFmtId="0" fontId="4" fillId="7" borderId="3" xfId="4" applyFill="1" applyBorder="1" applyAlignment="1">
      <alignment horizontal="left" vertical="center" wrapText="1"/>
    </xf>
    <xf numFmtId="0" fontId="4" fillId="7" borderId="4" xfId="4" applyFill="1" applyBorder="1" applyAlignment="1">
      <alignment horizontal="left" vertical="center" wrapText="1"/>
    </xf>
    <xf numFmtId="164" fontId="15" fillId="9" borderId="13" xfId="5" applyNumberFormat="1" applyFont="1" applyFill="1" applyBorder="1" applyAlignment="1">
      <alignment horizontal="center" vertical="center"/>
    </xf>
    <xf numFmtId="164" fontId="15" fillId="9" borderId="14" xfId="5" applyNumberFormat="1" applyFont="1" applyFill="1" applyBorder="1" applyAlignment="1">
      <alignment horizontal="center" vertical="center"/>
    </xf>
    <xf numFmtId="0" fontId="10" fillId="9" borderId="54" xfId="4" applyFont="1" applyFill="1" applyBorder="1" applyAlignment="1">
      <alignment horizontal="center" vertical="center"/>
    </xf>
    <xf numFmtId="164" fontId="15" fillId="9" borderId="44" xfId="5" quotePrefix="1" applyNumberFormat="1" applyFont="1" applyFill="1" applyBorder="1" applyAlignment="1">
      <alignment horizontal="center" vertical="center"/>
    </xf>
    <xf numFmtId="164" fontId="15" fillId="9" borderId="13" xfId="5" quotePrefix="1" applyNumberFormat="1" applyFont="1" applyFill="1" applyBorder="1" applyAlignment="1">
      <alignment horizontal="center" vertical="center"/>
    </xf>
    <xf numFmtId="164" fontId="15" fillId="9" borderId="58" xfId="5" quotePrefix="1" applyNumberFormat="1" applyFont="1" applyFill="1" applyBorder="1" applyAlignment="1">
      <alignment horizontal="center" vertical="center"/>
    </xf>
    <xf numFmtId="164" fontId="9" fillId="0" borderId="14" xfId="5" applyNumberFormat="1" applyFont="1" applyBorder="1" applyAlignment="1">
      <alignment horizontal="center" vertical="center"/>
    </xf>
    <xf numFmtId="164" fontId="9" fillId="0" borderId="39" xfId="5" applyNumberFormat="1" applyFont="1" applyBorder="1" applyAlignment="1">
      <alignment horizontal="center" vertical="center"/>
    </xf>
    <xf numFmtId="166" fontId="12" fillId="0" borderId="52" xfId="5" applyNumberFormat="1" applyFont="1" applyBorder="1" applyAlignment="1">
      <alignment horizontal="center" vertical="center"/>
    </xf>
    <xf numFmtId="166" fontId="12" fillId="0" borderId="22" xfId="5" applyNumberFormat="1" applyFont="1" applyBorder="1" applyAlignment="1">
      <alignment horizontal="center" vertical="center"/>
    </xf>
    <xf numFmtId="166" fontId="12" fillId="0" borderId="23" xfId="5" applyNumberFormat="1" applyFont="1" applyBorder="1" applyAlignment="1">
      <alignment horizontal="center" vertical="center"/>
    </xf>
    <xf numFmtId="164" fontId="12" fillId="0" borderId="21" xfId="5" applyNumberFormat="1" applyFont="1" applyBorder="1" applyAlignment="1">
      <alignment horizontal="center" vertical="center"/>
    </xf>
    <xf numFmtId="164" fontId="9" fillId="0" borderId="38" xfId="5" applyNumberFormat="1" applyFont="1" applyFill="1" applyBorder="1" applyAlignment="1">
      <alignment horizontal="center" vertical="center"/>
    </xf>
    <xf numFmtId="164" fontId="9" fillId="0" borderId="32" xfId="5" applyNumberFormat="1" applyFont="1" applyFill="1" applyBorder="1" applyAlignment="1">
      <alignment horizontal="center" vertical="center"/>
    </xf>
    <xf numFmtId="164" fontId="9" fillId="0" borderId="31" xfId="5" applyNumberFormat="1" applyFont="1" applyFill="1" applyBorder="1" applyAlignment="1">
      <alignment horizontal="center" vertical="center"/>
    </xf>
    <xf numFmtId="164" fontId="9" fillId="0" borderId="28" xfId="5" applyNumberFormat="1" applyFont="1" applyBorder="1" applyAlignment="1">
      <alignment horizontal="center" vertical="center"/>
    </xf>
    <xf numFmtId="164" fontId="9" fillId="0" borderId="0" xfId="5" applyNumberFormat="1" applyFont="1" applyBorder="1" applyAlignment="1">
      <alignment horizontal="center" vertical="center"/>
    </xf>
    <xf numFmtId="164" fontId="9" fillId="0" borderId="59" xfId="5" applyNumberFormat="1" applyFont="1" applyBorder="1" applyAlignment="1">
      <alignment horizontal="center" vertical="center"/>
    </xf>
    <xf numFmtId="49" fontId="10" fillId="7" borderId="27" xfId="4" applyNumberFormat="1" applyFont="1" applyFill="1" applyBorder="1" applyAlignment="1">
      <alignment horizontal="center" vertical="center" wrapText="1"/>
    </xf>
    <xf numFmtId="49" fontId="10" fillId="7" borderId="19" xfId="4" applyNumberFormat="1" applyFont="1" applyFill="1" applyBorder="1" applyAlignment="1">
      <alignment horizontal="center" vertical="center" wrapText="1"/>
    </xf>
    <xf numFmtId="49" fontId="10" fillId="7" borderId="20" xfId="4" applyNumberFormat="1" applyFont="1" applyFill="1" applyBorder="1" applyAlignment="1">
      <alignment horizontal="center" vertical="center" wrapText="1"/>
    </xf>
    <xf numFmtId="49" fontId="10" fillId="7" borderId="44" xfId="4" applyNumberFormat="1" applyFont="1" applyFill="1" applyBorder="1" applyAlignment="1">
      <alignment horizontal="center" vertical="center" wrapText="1"/>
    </xf>
    <xf numFmtId="49" fontId="10" fillId="7" borderId="13" xfId="4" applyNumberFormat="1" applyFont="1" applyFill="1" applyBorder="1" applyAlignment="1">
      <alignment horizontal="center" vertical="center" wrapText="1"/>
    </xf>
    <xf numFmtId="49" fontId="10" fillId="7" borderId="14" xfId="4" applyNumberFormat="1" applyFont="1" applyFill="1" applyBorder="1" applyAlignment="1">
      <alignment horizontal="center" vertical="center" wrapText="1"/>
    </xf>
    <xf numFmtId="43" fontId="39" fillId="2" borderId="47" xfId="1" applyFont="1" applyFill="1" applyBorder="1" applyAlignment="1">
      <alignment horizontal="center" vertical="center" wrapText="1"/>
    </xf>
    <xf numFmtId="43" fontId="39" fillId="2" borderId="28" xfId="1" applyFont="1" applyFill="1" applyBorder="1" applyAlignment="1">
      <alignment horizontal="center" vertical="center" wrapText="1"/>
    </xf>
    <xf numFmtId="0" fontId="32" fillId="2" borderId="129" xfId="0" applyFont="1" applyFill="1" applyBorder="1" applyAlignment="1">
      <alignment horizontal="center" vertical="top" wrapText="1"/>
    </xf>
    <xf numFmtId="0" fontId="32" fillId="2" borderId="139" xfId="0" applyFont="1" applyFill="1" applyBorder="1" applyAlignment="1">
      <alignment horizontal="center" vertical="top" wrapText="1"/>
    </xf>
    <xf numFmtId="10" fontId="32" fillId="2" borderId="54" xfId="2" applyNumberFormat="1" applyFont="1" applyFill="1" applyBorder="1" applyAlignment="1">
      <alignment horizontal="center" vertical="top" wrapText="1"/>
    </xf>
    <xf numFmtId="10" fontId="32" fillId="2" borderId="49" xfId="2" applyNumberFormat="1" applyFont="1" applyFill="1" applyBorder="1" applyAlignment="1">
      <alignment horizontal="center" vertical="top" wrapText="1"/>
    </xf>
    <xf numFmtId="49" fontId="57" fillId="16" borderId="54" xfId="0" applyNumberFormat="1" applyFont="1" applyFill="1" applyBorder="1" applyAlignment="1">
      <alignment horizontal="center" vertical="center" wrapText="1"/>
    </xf>
    <xf numFmtId="170" fontId="39" fillId="2" borderId="131" xfId="0" applyNumberFormat="1" applyFont="1" applyFill="1" applyBorder="1" applyAlignment="1">
      <alignment horizontal="center" vertical="top" wrapText="1"/>
    </xf>
    <xf numFmtId="170" fontId="39" fillId="2" borderId="132" xfId="0" applyNumberFormat="1" applyFont="1" applyFill="1" applyBorder="1" applyAlignment="1">
      <alignment horizontal="center" vertical="top" wrapText="1"/>
    </xf>
    <xf numFmtId="49" fontId="39" fillId="2" borderId="80" xfId="0" applyNumberFormat="1" applyFont="1" applyFill="1" applyBorder="1" applyAlignment="1">
      <alignment horizontal="center" vertical="top" wrapText="1"/>
    </xf>
    <xf numFmtId="49" fontId="39" fillId="2" borderId="134" xfId="0" applyNumberFormat="1" applyFont="1" applyFill="1" applyBorder="1" applyAlignment="1">
      <alignment horizontal="center" vertical="top" wrapText="1"/>
    </xf>
    <xf numFmtId="49" fontId="39" fillId="2" borderId="131" xfId="0" applyNumberFormat="1" applyFont="1" applyFill="1" applyBorder="1" applyAlignment="1">
      <alignment horizontal="center" vertical="top" wrapText="1"/>
    </xf>
    <xf numFmtId="49" fontId="39" fillId="2" borderId="132" xfId="0" applyNumberFormat="1" applyFont="1" applyFill="1" applyBorder="1" applyAlignment="1">
      <alignment horizontal="center" vertical="top" wrapText="1"/>
    </xf>
    <xf numFmtId="1" fontId="57" fillId="16" borderId="48" xfId="0" applyNumberFormat="1" applyFont="1" applyFill="1" applyBorder="1" applyAlignment="1">
      <alignment horizontal="center" vertical="top" wrapText="1"/>
    </xf>
    <xf numFmtId="1" fontId="57" fillId="16" borderId="98" xfId="0" applyNumberFormat="1" applyFont="1" applyFill="1" applyBorder="1" applyAlignment="1">
      <alignment horizontal="center" vertical="top" wrapText="1"/>
    </xf>
    <xf numFmtId="49" fontId="39" fillId="2" borderId="54" xfId="0" applyNumberFormat="1" applyFont="1" applyFill="1" applyBorder="1" applyAlignment="1">
      <alignment horizontal="center" vertical="top" wrapText="1"/>
    </xf>
    <xf numFmtId="49" fontId="39" fillId="2" borderId="48" xfId="0" applyNumberFormat="1" applyFont="1" applyFill="1" applyBorder="1" applyAlignment="1">
      <alignment horizontal="center" vertical="top" wrapText="1"/>
    </xf>
    <xf numFmtId="164" fontId="39" fillId="2" borderId="132" xfId="1" applyNumberFormat="1" applyFont="1" applyFill="1" applyBorder="1" applyAlignment="1">
      <alignment horizontal="center" vertical="top" wrapText="1"/>
    </xf>
    <xf numFmtId="164" fontId="39" fillId="2" borderId="75" xfId="1" applyNumberFormat="1" applyFont="1" applyFill="1" applyBorder="1" applyAlignment="1">
      <alignment horizontal="center" vertical="top" wrapText="1"/>
    </xf>
    <xf numFmtId="14" fontId="32" fillId="2" borderId="54" xfId="1" applyNumberFormat="1" applyFont="1" applyFill="1" applyBorder="1" applyAlignment="1">
      <alignment horizontal="center" vertical="top" wrapText="1"/>
    </xf>
    <xf numFmtId="14" fontId="32" fillId="2" borderId="49" xfId="1" applyNumberFormat="1" applyFont="1" applyFill="1" applyBorder="1" applyAlignment="1">
      <alignment horizontal="center" vertical="top" wrapText="1"/>
    </xf>
    <xf numFmtId="0" fontId="32" fillId="2" borderId="80" xfId="1" applyNumberFormat="1" applyFont="1" applyFill="1" applyBorder="1" applyAlignment="1">
      <alignment horizontal="center" vertical="top" wrapText="1"/>
    </xf>
    <xf numFmtId="0" fontId="32" fillId="2" borderId="135" xfId="1" applyNumberFormat="1" applyFont="1" applyFill="1" applyBorder="1" applyAlignment="1">
      <alignment horizontal="center" vertical="top" wrapText="1"/>
    </xf>
    <xf numFmtId="43" fontId="32" fillId="2" borderId="131" xfId="1" applyFont="1" applyFill="1" applyBorder="1" applyAlignment="1">
      <alignment horizontal="center" vertical="top" wrapText="1"/>
    </xf>
    <xf numFmtId="43" fontId="32" fillId="2" borderId="132" xfId="1" applyFont="1" applyFill="1" applyBorder="1" applyAlignment="1">
      <alignment horizontal="center" vertical="top" wrapText="1"/>
    </xf>
    <xf numFmtId="43" fontId="32" fillId="2" borderId="129" xfId="1" applyFont="1" applyFill="1" applyBorder="1" applyAlignment="1">
      <alignment horizontal="center" vertical="top" wrapText="1"/>
    </xf>
    <xf numFmtId="43" fontId="32" fillId="2" borderId="133" xfId="1" applyFont="1" applyFill="1" applyBorder="1" applyAlignment="1">
      <alignment horizontal="center" vertical="top" wrapText="1"/>
    </xf>
    <xf numFmtId="0" fontId="32" fillId="2" borderId="54" xfId="0" applyFont="1" applyFill="1" applyBorder="1" applyAlignment="1">
      <alignment horizontal="center" vertical="top" wrapText="1"/>
    </xf>
    <xf numFmtId="0" fontId="32" fillId="2" borderId="47" xfId="0" applyFont="1" applyFill="1" applyBorder="1" applyAlignment="1">
      <alignment horizontal="center" vertical="top" wrapText="1"/>
    </xf>
    <xf numFmtId="43" fontId="39" fillId="2" borderId="132" xfId="1" applyFont="1" applyFill="1" applyBorder="1" applyAlignment="1">
      <alignment horizontal="center" vertical="top" wrapText="1"/>
    </xf>
    <xf numFmtId="43" fontId="39" fillId="2" borderId="75" xfId="1" applyFont="1" applyFill="1" applyBorder="1" applyAlignment="1">
      <alignment horizontal="center" vertical="top" wrapText="1"/>
    </xf>
    <xf numFmtId="10" fontId="32" fillId="2" borderId="73" xfId="2" applyNumberFormat="1" applyFont="1" applyFill="1" applyBorder="1" applyAlignment="1">
      <alignment horizontal="center" vertical="top" wrapText="1"/>
    </xf>
    <xf numFmtId="10" fontId="32" fillId="2" borderId="75" xfId="2" applyNumberFormat="1" applyFont="1" applyFill="1" applyBorder="1" applyAlignment="1">
      <alignment horizontal="center" vertical="top" wrapText="1"/>
    </xf>
    <xf numFmtId="14" fontId="32" fillId="2" borderId="73" xfId="1" applyNumberFormat="1" applyFont="1" applyFill="1" applyBorder="1" applyAlignment="1">
      <alignment horizontal="center" vertical="top" wrapText="1"/>
    </xf>
    <xf numFmtId="14" fontId="32" fillId="2" borderId="75" xfId="1" applyNumberFormat="1" applyFont="1" applyFill="1" applyBorder="1" applyAlignment="1">
      <alignment horizontal="center" vertical="top" wrapText="1"/>
    </xf>
    <xf numFmtId="164" fontId="39" fillId="2" borderId="134" xfId="1" applyNumberFormat="1" applyFont="1" applyFill="1" applyBorder="1" applyAlignment="1">
      <alignment horizontal="center" vertical="top" wrapText="1"/>
    </xf>
    <xf numFmtId="164" fontId="39" fillId="2" borderId="143" xfId="1" applyNumberFormat="1" applyFont="1" applyFill="1" applyBorder="1" applyAlignment="1">
      <alignment horizontal="center" vertical="top" wrapText="1"/>
    </xf>
    <xf numFmtId="49" fontId="39" fillId="2" borderId="75" xfId="0" applyNumberFormat="1" applyFont="1" applyFill="1" applyBorder="1" applyAlignment="1">
      <alignment horizontal="center" vertical="top" wrapText="1"/>
    </xf>
    <xf numFmtId="43" fontId="39" fillId="2" borderId="133" xfId="1" applyFont="1" applyFill="1" applyBorder="1" applyAlignment="1">
      <alignment horizontal="center" vertical="top" wrapText="1"/>
    </xf>
    <xf numFmtId="43" fontId="39" fillId="2" borderId="144" xfId="1" applyFont="1" applyFill="1" applyBorder="1" applyAlignment="1">
      <alignment horizontal="center" vertical="top" wrapText="1"/>
    </xf>
    <xf numFmtId="0" fontId="39" fillId="2" borderId="54" xfId="1" applyNumberFormat="1" applyFont="1" applyFill="1" applyBorder="1" applyAlignment="1">
      <alignment horizontal="center" vertical="top" wrapText="1"/>
    </xf>
    <xf numFmtId="0" fontId="39" fillId="2" borderId="48" xfId="1" applyNumberFormat="1" applyFont="1" applyFill="1" applyBorder="1" applyAlignment="1">
      <alignment horizontal="center" vertical="top" wrapText="1"/>
    </xf>
    <xf numFmtId="49" fontId="39" fillId="2" borderId="54" xfId="1" applyNumberFormat="1" applyFont="1" applyFill="1" applyBorder="1" applyAlignment="1">
      <alignment horizontal="center" vertical="top" wrapText="1"/>
    </xf>
    <xf numFmtId="49" fontId="39" fillId="2" borderId="48" xfId="1" applyNumberFormat="1" applyFont="1" applyFill="1" applyBorder="1" applyAlignment="1">
      <alignment horizontal="center" vertical="top" wrapText="1"/>
    </xf>
    <xf numFmtId="49" fontId="34" fillId="12" borderId="54" xfId="0" applyNumberFormat="1" applyFont="1" applyFill="1" applyBorder="1" applyAlignment="1">
      <alignment horizontal="center" vertical="center"/>
    </xf>
    <xf numFmtId="49" fontId="34" fillId="12" borderId="51" xfId="0" applyNumberFormat="1" applyFont="1" applyFill="1" applyBorder="1" applyAlignment="1">
      <alignment horizontal="center" vertical="center"/>
    </xf>
    <xf numFmtId="49" fontId="34" fillId="12" borderId="16" xfId="0" applyNumberFormat="1" applyFont="1" applyFill="1" applyBorder="1" applyAlignment="1">
      <alignment horizontal="center" vertical="center"/>
    </xf>
    <xf numFmtId="49" fontId="34" fillId="12" borderId="57" xfId="0" applyNumberFormat="1" applyFont="1" applyFill="1" applyBorder="1" applyAlignment="1">
      <alignment horizontal="center" vertical="center"/>
    </xf>
    <xf numFmtId="43" fontId="34" fillId="16" borderId="54" xfId="1" applyFont="1" applyFill="1" applyBorder="1" applyAlignment="1">
      <alignment horizontal="center" vertical="top" wrapText="1"/>
    </xf>
    <xf numFmtId="43" fontId="34" fillId="16" borderId="48" xfId="1" applyFont="1" applyFill="1" applyBorder="1" applyAlignment="1">
      <alignment horizontal="center" vertical="top" wrapText="1"/>
    </xf>
    <xf numFmtId="1" fontId="34" fillId="16" borderId="54" xfId="1" applyNumberFormat="1" applyFont="1" applyFill="1" applyBorder="1" applyAlignment="1">
      <alignment horizontal="center" vertical="top" wrapText="1"/>
    </xf>
    <xf numFmtId="1" fontId="34" fillId="16" borderId="48" xfId="1" applyNumberFormat="1" applyFont="1" applyFill="1" applyBorder="1" applyAlignment="1">
      <alignment horizontal="center" vertical="top" wrapText="1"/>
    </xf>
    <xf numFmtId="14" fontId="39" fillId="2" borderId="78" xfId="0" applyNumberFormat="1" applyFont="1" applyFill="1" applyBorder="1" applyAlignment="1">
      <alignment horizontal="center" vertical="top" wrapText="1"/>
    </xf>
    <xf numFmtId="14" fontId="39" fillId="2" borderId="73" xfId="0" applyNumberFormat="1" applyFont="1" applyFill="1" applyBorder="1" applyAlignment="1">
      <alignment horizontal="center" vertical="top" wrapText="1"/>
    </xf>
    <xf numFmtId="0" fontId="39" fillId="2" borderId="78" xfId="0" applyFont="1" applyFill="1" applyBorder="1" applyAlignment="1">
      <alignment horizontal="center" vertical="top" wrapText="1"/>
    </xf>
    <xf numFmtId="0" fontId="39" fillId="2" borderId="73" xfId="0" applyFont="1" applyFill="1" applyBorder="1" applyAlignment="1">
      <alignment horizontal="center" vertical="top" wrapText="1"/>
    </xf>
    <xf numFmtId="49" fontId="39" fillId="2" borderId="125" xfId="0" applyNumberFormat="1" applyFont="1" applyFill="1" applyBorder="1" applyAlignment="1">
      <alignment horizontal="center" vertical="top" wrapText="1"/>
    </xf>
    <xf numFmtId="49" fontId="39" fillId="2" borderId="138" xfId="0" applyNumberFormat="1" applyFont="1" applyFill="1" applyBorder="1" applyAlignment="1">
      <alignment horizontal="center" vertical="top" wrapText="1"/>
    </xf>
    <xf numFmtId="49" fontId="39" fillId="2" borderId="78" xfId="0" applyNumberFormat="1" applyFont="1" applyFill="1" applyBorder="1" applyAlignment="1">
      <alignment horizontal="center" vertical="top" wrapText="1"/>
    </xf>
    <xf numFmtId="49" fontId="39" fillId="2" borderId="73" xfId="0" applyNumberFormat="1" applyFont="1" applyFill="1" applyBorder="1" applyAlignment="1">
      <alignment horizontal="center" vertical="top" wrapText="1"/>
    </xf>
    <xf numFmtId="49" fontId="57" fillId="16" borderId="48" xfId="0" applyNumberFormat="1" applyFont="1" applyFill="1" applyBorder="1" applyAlignment="1">
      <alignment horizontal="center" vertical="top" wrapText="1"/>
    </xf>
    <xf numFmtId="49" fontId="57" fillId="16" borderId="98" xfId="0" applyNumberFormat="1" applyFont="1" applyFill="1" applyBorder="1" applyAlignment="1">
      <alignment horizontal="center" vertical="top" wrapText="1"/>
    </xf>
    <xf numFmtId="49" fontId="39" fillId="2" borderId="79" xfId="0" applyNumberFormat="1" applyFont="1" applyFill="1" applyBorder="1" applyAlignment="1">
      <alignment horizontal="center" vertical="top" wrapText="1"/>
    </xf>
    <xf numFmtId="49" fontId="39" fillId="2" borderId="84" xfId="0" applyNumberFormat="1" applyFont="1" applyFill="1" applyBorder="1" applyAlignment="1">
      <alignment horizontal="center" vertical="top" wrapText="1"/>
    </xf>
    <xf numFmtId="164" fontId="39" fillId="2" borderId="133" xfId="1" applyNumberFormat="1" applyFont="1" applyFill="1" applyBorder="1" applyAlignment="1">
      <alignment horizontal="center" vertical="top" wrapText="1"/>
    </xf>
    <xf numFmtId="164" fontId="39" fillId="2" borderId="144" xfId="1" applyNumberFormat="1" applyFont="1" applyFill="1" applyBorder="1" applyAlignment="1">
      <alignment horizontal="center" vertical="top" wrapText="1"/>
    </xf>
    <xf numFmtId="0" fontId="39" fillId="2" borderId="134" xfId="1" applyNumberFormat="1" applyFont="1" applyFill="1" applyBorder="1" applyAlignment="1">
      <alignment horizontal="center" vertical="top" wrapText="1"/>
    </xf>
    <xf numFmtId="0" fontId="39" fillId="2" borderId="143" xfId="1" applyNumberFormat="1" applyFont="1" applyFill="1" applyBorder="1" applyAlignment="1">
      <alignment horizontal="center" vertical="top" wrapText="1"/>
    </xf>
    <xf numFmtId="0" fontId="39" fillId="2" borderId="132" xfId="1" applyNumberFormat="1" applyFont="1" applyFill="1" applyBorder="1" applyAlignment="1">
      <alignment horizontal="center" vertical="top" wrapText="1"/>
    </xf>
    <xf numFmtId="0" fontId="39" fillId="2" borderId="75" xfId="1" applyNumberFormat="1" applyFont="1" applyFill="1" applyBorder="1" applyAlignment="1">
      <alignment horizontal="center" vertical="top" wrapText="1"/>
    </xf>
    <xf numFmtId="43" fontId="42" fillId="16" borderId="9" xfId="1" applyFont="1" applyFill="1" applyBorder="1" applyAlignment="1">
      <alignment horizontal="center" vertical="center"/>
    </xf>
    <xf numFmtId="43" fontId="42" fillId="16" borderId="10" xfId="1" applyFont="1" applyFill="1" applyBorder="1" applyAlignment="1">
      <alignment horizontal="center" vertical="center"/>
    </xf>
    <xf numFmtId="43" fontId="42" fillId="16" borderId="11" xfId="1" applyFont="1" applyFill="1" applyBorder="1" applyAlignment="1">
      <alignment horizontal="center" vertical="center"/>
    </xf>
    <xf numFmtId="0" fontId="39" fillId="2" borderId="131" xfId="0" applyFont="1" applyFill="1" applyBorder="1" applyAlignment="1">
      <alignment horizontal="center" vertical="top" wrapText="1"/>
    </xf>
    <xf numFmtId="0" fontId="39" fillId="2" borderId="132" xfId="0" applyFont="1" applyFill="1" applyBorder="1" applyAlignment="1">
      <alignment horizontal="center" vertical="top" wrapText="1"/>
    </xf>
    <xf numFmtId="1" fontId="39" fillId="2" borderId="131" xfId="0" applyNumberFormat="1" applyFont="1" applyFill="1" applyBorder="1" applyAlignment="1">
      <alignment horizontal="center" vertical="top" wrapText="1"/>
    </xf>
    <xf numFmtId="1" fontId="39" fillId="2" borderId="132" xfId="0" applyNumberFormat="1" applyFont="1" applyFill="1" applyBorder="1" applyAlignment="1">
      <alignment horizontal="center" vertical="top" wrapText="1"/>
    </xf>
    <xf numFmtId="43" fontId="39" fillId="2" borderId="48" xfId="1" applyFont="1" applyFill="1" applyBorder="1" applyAlignment="1">
      <alignment horizontal="center" vertical="top" wrapText="1"/>
    </xf>
    <xf numFmtId="43" fontId="39" fillId="2" borderId="98" xfId="1" applyFont="1" applyFill="1" applyBorder="1" applyAlignment="1">
      <alignment horizontal="center" vertical="top" wrapText="1"/>
    </xf>
    <xf numFmtId="49" fontId="57" fillId="12" borderId="54" xfId="0" applyNumberFormat="1" applyFont="1" applyFill="1" applyBorder="1" applyAlignment="1">
      <alignment horizontal="center" vertical="center"/>
    </xf>
    <xf numFmtId="43" fontId="39" fillId="2" borderId="131" xfId="1" applyFont="1" applyFill="1" applyBorder="1" applyAlignment="1">
      <alignment horizontal="center" vertical="top" wrapText="1"/>
    </xf>
    <xf numFmtId="164" fontId="39" fillId="2" borderId="129" xfId="1" applyNumberFormat="1" applyFont="1" applyFill="1" applyBorder="1" applyAlignment="1">
      <alignment horizontal="center" vertical="top" wrapText="1"/>
    </xf>
    <xf numFmtId="14" fontId="39" fillId="2" borderId="132" xfId="1" applyNumberFormat="1" applyFont="1" applyFill="1" applyBorder="1" applyAlignment="1">
      <alignment horizontal="center" vertical="top" wrapText="1"/>
    </xf>
    <xf numFmtId="14" fontId="39" fillId="2" borderId="75" xfId="1" applyNumberFormat="1" applyFont="1" applyFill="1" applyBorder="1" applyAlignment="1">
      <alignment horizontal="center" vertical="top" wrapText="1"/>
    </xf>
    <xf numFmtId="0" fontId="39" fillId="2" borderId="131" xfId="1" applyNumberFormat="1" applyFont="1" applyFill="1" applyBorder="1" applyAlignment="1">
      <alignment horizontal="center" vertical="top" wrapText="1"/>
    </xf>
    <xf numFmtId="49" fontId="39" fillId="2" borderId="135" xfId="1" applyNumberFormat="1" applyFont="1" applyFill="1" applyBorder="1" applyAlignment="1">
      <alignment horizontal="center" vertical="top" wrapText="1"/>
    </xf>
    <xf numFmtId="49" fontId="39" fillId="2" borderId="75" xfId="1" applyNumberFormat="1" applyFont="1" applyFill="1" applyBorder="1" applyAlignment="1">
      <alignment horizontal="center" vertical="top" wrapText="1"/>
    </xf>
    <xf numFmtId="1" fontId="57" fillId="16" borderId="54" xfId="0" applyNumberFormat="1" applyFont="1" applyFill="1" applyBorder="1" applyAlignment="1">
      <alignment horizontal="center" vertical="top" wrapText="1"/>
    </xf>
    <xf numFmtId="0" fontId="39" fillId="2" borderId="47" xfId="0" applyFont="1" applyFill="1" applyBorder="1" applyAlignment="1">
      <alignment horizontal="center" vertical="top" wrapText="1"/>
    </xf>
    <xf numFmtId="0" fontId="39" fillId="2" borderId="143" xfId="0" applyFont="1" applyFill="1" applyBorder="1" applyAlignment="1">
      <alignment horizontal="center" vertical="top" wrapText="1"/>
    </xf>
    <xf numFmtId="49" fontId="39" fillId="2" borderId="133" xfId="1" applyNumberFormat="1" applyFont="1" applyFill="1" applyBorder="1" applyAlignment="1">
      <alignment horizontal="center" vertical="top" wrapText="1"/>
    </xf>
    <xf numFmtId="49" fontId="39" fillId="2" borderId="144" xfId="1" applyNumberFormat="1" applyFont="1" applyFill="1" applyBorder="1" applyAlignment="1">
      <alignment horizontal="center" vertical="top" wrapText="1"/>
    </xf>
    <xf numFmtId="0" fontId="39" fillId="2" borderId="80" xfId="1" applyNumberFormat="1" applyFont="1" applyFill="1" applyBorder="1" applyAlignment="1">
      <alignment horizontal="center" vertical="top" wrapText="1"/>
    </xf>
    <xf numFmtId="49" fontId="57" fillId="16" borderId="54" xfId="0" applyNumberFormat="1" applyFont="1" applyFill="1" applyBorder="1" applyAlignment="1">
      <alignment horizontal="center" vertical="top" wrapText="1"/>
    </xf>
    <xf numFmtId="49" fontId="57" fillId="16" borderId="47" xfId="0" applyNumberFormat="1" applyFont="1" applyFill="1" applyBorder="1" applyAlignment="1">
      <alignment horizontal="center" vertical="top" wrapText="1"/>
    </xf>
    <xf numFmtId="49" fontId="39" fillId="2" borderId="129" xfId="0" applyNumberFormat="1" applyFont="1" applyFill="1" applyBorder="1" applyAlignment="1">
      <alignment horizontal="center" vertical="top" wrapText="1"/>
    </xf>
    <xf numFmtId="49" fontId="39" fillId="2" borderId="133" xfId="0" applyNumberFormat="1" applyFont="1" applyFill="1" applyBorder="1" applyAlignment="1">
      <alignment horizontal="center" vertical="top" wrapText="1"/>
    </xf>
    <xf numFmtId="14" fontId="39" fillId="2" borderId="131" xfId="0" applyNumberFormat="1" applyFont="1" applyFill="1" applyBorder="1" applyAlignment="1">
      <alignment horizontal="center" vertical="top" wrapText="1"/>
    </xf>
    <xf numFmtId="14" fontId="39" fillId="2" borderId="132" xfId="0" applyNumberFormat="1" applyFont="1" applyFill="1" applyBorder="1" applyAlignment="1">
      <alignment horizontal="center" vertical="top" wrapText="1"/>
    </xf>
    <xf numFmtId="43" fontId="39" fillId="2" borderId="130" xfId="1" applyFont="1" applyFill="1" applyBorder="1" applyAlignment="1">
      <alignment horizontal="center" vertical="center" wrapText="1"/>
    </xf>
    <xf numFmtId="43" fontId="39" fillId="2" borderId="73" xfId="1" applyFont="1" applyFill="1" applyBorder="1" applyAlignment="1">
      <alignment horizontal="center" vertical="center" wrapText="1"/>
    </xf>
    <xf numFmtId="164" fontId="39" fillId="2" borderId="128" xfId="1" applyNumberFormat="1" applyFont="1" applyFill="1" applyBorder="1" applyAlignment="1">
      <alignment horizontal="center" vertical="center" wrapText="1"/>
    </xf>
    <xf numFmtId="164" fontId="39" fillId="2" borderId="73" xfId="1" applyNumberFormat="1" applyFont="1" applyFill="1" applyBorder="1" applyAlignment="1">
      <alignment horizontal="center" vertical="center" wrapText="1"/>
    </xf>
    <xf numFmtId="49" fontId="34" fillId="16" borderId="54" xfId="0" applyNumberFormat="1" applyFont="1" applyFill="1" applyBorder="1" applyAlignment="1">
      <alignment horizontal="center" vertical="top" wrapText="1"/>
    </xf>
    <xf numFmtId="49" fontId="34" fillId="16" borderId="48" xfId="0" applyNumberFormat="1" applyFont="1" applyFill="1" applyBorder="1" applyAlignment="1">
      <alignment horizontal="center" vertical="top" wrapText="1"/>
    </xf>
    <xf numFmtId="164" fontId="34" fillId="16" borderId="54" xfId="1" applyNumberFormat="1" applyFont="1" applyFill="1" applyBorder="1" applyAlignment="1">
      <alignment horizontal="center" vertical="top" wrapText="1"/>
    </xf>
    <xf numFmtId="164" fontId="34" fillId="16" borderId="48" xfId="1" applyNumberFormat="1" applyFont="1" applyFill="1" applyBorder="1" applyAlignment="1">
      <alignment horizontal="center" vertical="top" wrapText="1"/>
    </xf>
    <xf numFmtId="49" fontId="34" fillId="16" borderId="54" xfId="1" applyNumberFormat="1" applyFont="1" applyFill="1" applyBorder="1" applyAlignment="1">
      <alignment horizontal="center" vertical="top" wrapText="1"/>
    </xf>
    <xf numFmtId="49" fontId="34" fillId="16" borderId="48" xfId="1" applyNumberFormat="1" applyFont="1" applyFill="1" applyBorder="1" applyAlignment="1">
      <alignment horizontal="center" vertical="top" wrapText="1"/>
    </xf>
    <xf numFmtId="0" fontId="39" fillId="2" borderId="122" xfId="0" applyFont="1" applyFill="1" applyBorder="1" applyAlignment="1">
      <alignment horizontal="center" vertical="top" wrapText="1"/>
    </xf>
    <xf numFmtId="0" fontId="39" fillId="2" borderId="146" xfId="0" applyFont="1" applyFill="1" applyBorder="1" applyAlignment="1">
      <alignment horizontal="center" vertical="top" wrapText="1"/>
    </xf>
    <xf numFmtId="49" fontId="39" fillId="2" borderId="121" xfId="0" applyNumberFormat="1" applyFont="1" applyFill="1" applyBorder="1" applyAlignment="1">
      <alignment horizontal="center" vertical="top" wrapText="1"/>
    </xf>
    <xf numFmtId="49" fontId="39" fillId="2" borderId="145" xfId="0" applyNumberFormat="1" applyFont="1" applyFill="1" applyBorder="1" applyAlignment="1">
      <alignment horizontal="center" vertical="top" wrapText="1"/>
    </xf>
    <xf numFmtId="49" fontId="39" fillId="2" borderId="122" xfId="0" applyNumberFormat="1" applyFont="1" applyFill="1" applyBorder="1" applyAlignment="1">
      <alignment horizontal="center" vertical="top" wrapText="1"/>
    </xf>
    <xf numFmtId="49" fontId="39" fillId="2" borderId="146" xfId="0" applyNumberFormat="1" applyFont="1" applyFill="1" applyBorder="1" applyAlignment="1">
      <alignment horizontal="center" vertical="top" wrapText="1"/>
    </xf>
    <xf numFmtId="164" fontId="39" fillId="2" borderId="122" xfId="1" applyNumberFormat="1" applyFont="1" applyFill="1" applyBorder="1" applyAlignment="1">
      <alignment horizontal="center" vertical="top" wrapText="1"/>
    </xf>
    <xf numFmtId="164" fontId="39" fillId="2" borderId="146" xfId="1" applyNumberFormat="1" applyFont="1" applyFill="1" applyBorder="1" applyAlignment="1">
      <alignment horizontal="center" vertical="top" wrapText="1"/>
    </xf>
    <xf numFmtId="15" fontId="39" fillId="2" borderId="122" xfId="0" applyNumberFormat="1" applyFont="1" applyFill="1" applyBorder="1" applyAlignment="1">
      <alignment horizontal="center" vertical="top" wrapText="1"/>
    </xf>
    <xf numFmtId="15" fontId="39" fillId="2" borderId="146" xfId="0" applyNumberFormat="1" applyFont="1" applyFill="1" applyBorder="1" applyAlignment="1">
      <alignment horizontal="center" vertical="top" wrapText="1"/>
    </xf>
    <xf numFmtId="14" fontId="39" fillId="2" borderId="122" xfId="0" applyNumberFormat="1" applyFont="1" applyFill="1" applyBorder="1" applyAlignment="1">
      <alignment horizontal="center" vertical="top" wrapText="1"/>
    </xf>
    <xf numFmtId="14" fontId="39" fillId="2" borderId="146" xfId="0" applyNumberFormat="1" applyFont="1" applyFill="1" applyBorder="1" applyAlignment="1">
      <alignment horizontal="center" vertical="top" wrapText="1"/>
    </xf>
    <xf numFmtId="164" fontId="39" fillId="2" borderId="119" xfId="1" applyNumberFormat="1" applyFont="1" applyFill="1" applyBorder="1" applyAlignment="1">
      <alignment horizontal="center" vertical="top" wrapText="1"/>
    </xf>
    <xf numFmtId="164" fontId="39" fillId="2" borderId="147" xfId="1" applyNumberFormat="1" applyFont="1" applyFill="1" applyBorder="1" applyAlignment="1">
      <alignment horizontal="center" vertical="top" wrapText="1"/>
    </xf>
    <xf numFmtId="0" fontId="39" fillId="2" borderId="119" xfId="1" applyNumberFormat="1" applyFont="1" applyFill="1" applyBorder="1" applyAlignment="1">
      <alignment horizontal="center" vertical="top" wrapText="1"/>
    </xf>
    <xf numFmtId="0" fontId="39" fillId="2" borderId="147" xfId="1" applyNumberFormat="1" applyFont="1" applyFill="1" applyBorder="1" applyAlignment="1">
      <alignment horizontal="center" vertical="top" wrapText="1"/>
    </xf>
    <xf numFmtId="43" fontId="39" fillId="2" borderId="119" xfId="1" applyFont="1" applyFill="1" applyBorder="1" applyAlignment="1">
      <alignment horizontal="center" vertical="top" wrapText="1"/>
    </xf>
    <xf numFmtId="43" fontId="39" fillId="2" borderId="147" xfId="1" applyFont="1" applyFill="1" applyBorder="1" applyAlignment="1">
      <alignment horizontal="center" vertical="top" wrapText="1"/>
    </xf>
    <xf numFmtId="49" fontId="39" fillId="2" borderId="119" xfId="1" applyNumberFormat="1" applyFont="1" applyFill="1" applyBorder="1" applyAlignment="1">
      <alignment horizontal="center" vertical="top" wrapText="1"/>
    </xf>
    <xf numFmtId="49" fontId="39" fillId="2" borderId="147" xfId="1" applyNumberFormat="1" applyFont="1" applyFill="1" applyBorder="1" applyAlignment="1">
      <alignment horizontal="center" vertical="top" wrapText="1"/>
    </xf>
    <xf numFmtId="49" fontId="39" fillId="2" borderId="79" xfId="1" applyNumberFormat="1" applyFont="1" applyFill="1" applyBorder="1" applyAlignment="1">
      <alignment horizontal="center" vertical="top" wrapText="1"/>
    </xf>
    <xf numFmtId="49" fontId="39" fillId="2" borderId="84" xfId="1" applyNumberFormat="1" applyFont="1" applyFill="1" applyBorder="1" applyAlignment="1">
      <alignment horizontal="center" vertical="top" wrapText="1"/>
    </xf>
    <xf numFmtId="49" fontId="39" fillId="2" borderId="78" xfId="1" applyNumberFormat="1" applyFont="1" applyFill="1" applyBorder="1" applyAlignment="1">
      <alignment horizontal="center" vertical="top" wrapText="1"/>
    </xf>
    <xf numFmtId="49" fontId="39" fillId="2" borderId="73" xfId="1" applyNumberFormat="1" applyFont="1" applyFill="1" applyBorder="1" applyAlignment="1">
      <alignment horizontal="center" vertical="top" wrapText="1"/>
    </xf>
    <xf numFmtId="0" fontId="0" fillId="0" borderId="87" xfId="0" applyBorder="1" applyAlignment="1">
      <alignment vertical="center" wrapText="1"/>
    </xf>
    <xf numFmtId="0" fontId="0" fillId="0" borderId="88" xfId="0" applyBorder="1" applyAlignment="1">
      <alignment vertical="center" wrapText="1"/>
    </xf>
    <xf numFmtId="0" fontId="0" fillId="0" borderId="89" xfId="0" applyBorder="1" applyAlignment="1">
      <alignment vertical="center" wrapText="1"/>
    </xf>
    <xf numFmtId="0" fontId="0" fillId="0" borderId="86" xfId="0" applyBorder="1" applyAlignment="1">
      <alignment vertical="center" wrapText="1"/>
    </xf>
    <xf numFmtId="0" fontId="24" fillId="0" borderId="88" xfId="0" applyFont="1" applyBorder="1" applyAlignment="1">
      <alignment horizontal="center" vertical="center"/>
    </xf>
    <xf numFmtId="0" fontId="24" fillId="0" borderId="89" xfId="0" applyFont="1" applyBorder="1" applyAlignment="1">
      <alignment horizontal="center" vertical="center"/>
    </xf>
    <xf numFmtId="49" fontId="46" fillId="17" borderId="87" xfId="0" applyNumberFormat="1" applyFont="1" applyFill="1" applyBorder="1" applyAlignment="1">
      <alignment horizontal="center" vertical="center"/>
    </xf>
    <xf numFmtId="49" fontId="46" fillId="17" borderId="88" xfId="0" applyNumberFormat="1" applyFont="1" applyFill="1" applyBorder="1" applyAlignment="1">
      <alignment horizontal="center" vertical="center"/>
    </xf>
    <xf numFmtId="49" fontId="46" fillId="17" borderId="89" xfId="0" applyNumberFormat="1" applyFont="1" applyFill="1" applyBorder="1" applyAlignment="1">
      <alignment horizontal="center" vertical="center"/>
    </xf>
    <xf numFmtId="0" fontId="24" fillId="12" borderId="87" xfId="0" applyFont="1" applyFill="1" applyBorder="1" applyAlignment="1">
      <alignment horizontal="center" vertical="top" wrapText="1"/>
    </xf>
    <xf numFmtId="0" fontId="24" fillId="12" borderId="88" xfId="0" applyFont="1" applyFill="1" applyBorder="1" applyAlignment="1">
      <alignment horizontal="center" vertical="top" wrapText="1"/>
    </xf>
    <xf numFmtId="0" fontId="24" fillId="12" borderId="89" xfId="0" applyFont="1" applyFill="1" applyBorder="1" applyAlignment="1">
      <alignment horizontal="center" vertical="top" wrapText="1"/>
    </xf>
    <xf numFmtId="0" fontId="0" fillId="0" borderId="87" xfId="0" applyBorder="1" applyAlignment="1">
      <alignment horizontal="center" vertical="center" wrapText="1"/>
    </xf>
    <xf numFmtId="0" fontId="0" fillId="0" borderId="88" xfId="0" applyBorder="1" applyAlignment="1">
      <alignment horizontal="center" vertical="center" wrapText="1"/>
    </xf>
    <xf numFmtId="4" fontId="0" fillId="0" borderId="87" xfId="1" applyNumberFormat="1" applyFont="1" applyBorder="1" applyAlignment="1">
      <alignment horizontal="center" vertical="center"/>
    </xf>
    <xf numFmtId="4" fontId="0" fillId="0" borderId="89" xfId="1" applyNumberFormat="1" applyFont="1" applyBorder="1" applyAlignment="1">
      <alignment horizontal="center" vertical="center"/>
    </xf>
    <xf numFmtId="4" fontId="24" fillId="0" borderId="87" xfId="1" applyNumberFormat="1" applyFont="1" applyBorder="1" applyAlignment="1">
      <alignment horizontal="center" vertical="center"/>
    </xf>
    <xf numFmtId="4" fontId="24" fillId="0" borderId="89" xfId="1" applyNumberFormat="1" applyFont="1" applyBorder="1" applyAlignment="1">
      <alignment horizontal="center" vertical="center"/>
    </xf>
    <xf numFmtId="0" fontId="24" fillId="12" borderId="90" xfId="0" applyFont="1" applyFill="1" applyBorder="1" applyAlignment="1">
      <alignment horizontal="center" vertical="top" wrapText="1"/>
    </xf>
    <xf numFmtId="0" fontId="24" fillId="12" borderId="91" xfId="0" applyFont="1" applyFill="1" applyBorder="1" applyAlignment="1">
      <alignment horizontal="center" vertical="top" wrapText="1"/>
    </xf>
    <xf numFmtId="0" fontId="24" fillId="12" borderId="92" xfId="0" applyFont="1" applyFill="1" applyBorder="1" applyAlignment="1">
      <alignment horizontal="center" vertical="top" wrapText="1"/>
    </xf>
    <xf numFmtId="49" fontId="24" fillId="0" borderId="87" xfId="0" applyNumberFormat="1" applyFont="1" applyBorder="1" applyAlignment="1">
      <alignment horizontal="center" vertical="center"/>
    </xf>
    <xf numFmtId="49" fontId="24" fillId="0" borderId="88" xfId="0" applyNumberFormat="1" applyFont="1" applyBorder="1" applyAlignment="1">
      <alignment horizontal="center" vertical="center"/>
    </xf>
    <xf numFmtId="49" fontId="24" fillId="0" borderId="89" xfId="0" applyNumberFormat="1" applyFont="1" applyBorder="1" applyAlignment="1">
      <alignment horizontal="center" vertical="center"/>
    </xf>
    <xf numFmtId="0" fontId="0" fillId="0" borderId="89" xfId="0" applyBorder="1" applyAlignment="1">
      <alignment horizontal="center" vertical="center" wrapText="1"/>
    </xf>
    <xf numFmtId="49" fontId="24" fillId="12" borderId="87" xfId="0" applyNumberFormat="1" applyFont="1" applyFill="1" applyBorder="1" applyAlignment="1">
      <alignment horizontal="center" vertical="center" wrapText="1"/>
    </xf>
    <xf numFmtId="49" fontId="24" fillId="12" borderId="88" xfId="0" applyNumberFormat="1" applyFont="1" applyFill="1" applyBorder="1" applyAlignment="1">
      <alignment horizontal="center" vertical="center" wrapText="1"/>
    </xf>
    <xf numFmtId="49" fontId="24" fillId="12" borderId="89" xfId="0" applyNumberFormat="1" applyFont="1" applyFill="1" applyBorder="1" applyAlignment="1">
      <alignment horizontal="center" vertical="center" wrapText="1"/>
    </xf>
    <xf numFmtId="49" fontId="0" fillId="0" borderId="87" xfId="0" applyNumberFormat="1" applyBorder="1" applyAlignment="1">
      <alignment vertical="center" wrapText="1"/>
    </xf>
    <xf numFmtId="49" fontId="0" fillId="0" borderId="88" xfId="0" applyNumberFormat="1" applyBorder="1" applyAlignment="1">
      <alignment vertical="center" wrapText="1"/>
    </xf>
    <xf numFmtId="49" fontId="0" fillId="0" borderId="89" xfId="0" applyNumberFormat="1" applyBorder="1" applyAlignment="1">
      <alignment vertical="center" wrapText="1"/>
    </xf>
    <xf numFmtId="49" fontId="39" fillId="2" borderId="124" xfId="20" applyNumberFormat="1" applyFont="1" applyFill="1" applyBorder="1" applyAlignment="1">
      <alignment horizontal="center" vertical="center"/>
    </xf>
    <xf numFmtId="49" fontId="39" fillId="2" borderId="73" xfId="20" applyNumberFormat="1" applyFont="1" applyFill="1" applyBorder="1" applyAlignment="1">
      <alignment horizontal="center" vertical="center"/>
    </xf>
  </cellXfs>
  <cellStyles count="42">
    <cellStyle name="Accent" xfId="25" xr:uid="{D049751B-4281-4E46-A180-9514525A8A05}"/>
    <cellStyle name="Accent 1" xfId="26" xr:uid="{8EE70EAB-EB32-4CE1-952E-ED7B64D3B0F5}"/>
    <cellStyle name="Accent 2" xfId="27" xr:uid="{40881768-05C7-41EE-87E7-BA95D14F330D}"/>
    <cellStyle name="Accent 3" xfId="28" xr:uid="{A0DD7023-3D59-431D-86B8-55C452B6236A}"/>
    <cellStyle name="Bad" xfId="29" xr:uid="{258EB924-5365-4058-83BA-D45742164881}"/>
    <cellStyle name="Error" xfId="30" xr:uid="{F3A2175A-5CA6-4D3B-8AFF-B8E3DFDF704E}"/>
    <cellStyle name="Excel Built-in Normal" xfId="6" xr:uid="{00000000-0005-0000-0000-000000000000}"/>
    <cellStyle name="Excel Built-in Normal 2" xfId="31" xr:uid="{E80AC4EF-D616-4EF0-B3F9-6049920CE304}"/>
    <cellStyle name="Footnote" xfId="32" xr:uid="{C1AAA9B0-2E92-4089-B0E1-6EEC577128FB}"/>
    <cellStyle name="Good" xfId="33" xr:uid="{1B457D46-2173-4B89-ABB1-2F2618386D13}"/>
    <cellStyle name="Heading" xfId="34" xr:uid="{F36FC53D-9F70-4013-B82F-B303578B0B79}"/>
    <cellStyle name="Heading 1" xfId="35" xr:uid="{31D83F94-0951-4916-91DA-B8B8218ACEE5}"/>
    <cellStyle name="Heading 2" xfId="36" xr:uid="{C6EBA6E0-9E8F-4225-9247-51F2C08E92DC}"/>
    <cellStyle name="Hipervínculo" xfId="22" builtinId="8"/>
    <cellStyle name="Hipervínculo 2" xfId="21" xr:uid="{83FB58CA-7F05-4291-B24C-A519DC84CEAF}"/>
    <cellStyle name="Millares" xfId="1" builtinId="3"/>
    <cellStyle name="Millares 2" xfId="3" xr:uid="{00000000-0005-0000-0000-000003000000}"/>
    <cellStyle name="Millares 2 2" xfId="17" xr:uid="{00000000-0005-0000-0000-000004000000}"/>
    <cellStyle name="Millares 2 2 2" xfId="18" xr:uid="{983B6387-DAEE-4329-9D48-F7958ED3619E}"/>
    <cellStyle name="Millares 3" xfId="5" xr:uid="{00000000-0005-0000-0000-000005000000}"/>
    <cellStyle name="Millares 3 2" xfId="10" xr:uid="{00000000-0005-0000-0000-000006000000}"/>
    <cellStyle name="Millares 3 3" xfId="12" xr:uid="{00000000-0005-0000-0000-000007000000}"/>
    <cellStyle name="Millares 3 4" xfId="14" xr:uid="{00000000-0005-0000-0000-000008000000}"/>
    <cellStyle name="Millares 3 5" xfId="15" xr:uid="{00000000-0005-0000-0000-000009000000}"/>
    <cellStyle name="Millares 4" xfId="8" xr:uid="{00000000-0005-0000-0000-00000A000000}"/>
    <cellStyle name="Millares 5" xfId="9" xr:uid="{00000000-0005-0000-0000-00000B000000}"/>
    <cellStyle name="Millares 6" xfId="11" xr:uid="{00000000-0005-0000-0000-00000C000000}"/>
    <cellStyle name="Millares 7" xfId="13" xr:uid="{00000000-0005-0000-0000-00000D000000}"/>
    <cellStyle name="Millares 8" xfId="16" xr:uid="{00000000-0005-0000-0000-00000E000000}"/>
    <cellStyle name="Millares 9" xfId="20" xr:uid="{0CF52501-EE09-41E1-B968-27092177E59D}"/>
    <cellStyle name="Neutral 2" xfId="37" xr:uid="{EB1ABA67-A9FD-4729-B167-7FFE065F7F61}"/>
    <cellStyle name="Normal" xfId="0" builtinId="0"/>
    <cellStyle name="Normal 2" xfId="4" xr:uid="{00000000-0005-0000-0000-000010000000}"/>
    <cellStyle name="Normal 2 2" xfId="23" xr:uid="{E1E10E08-3439-4493-964F-966DD5BDEA8B}"/>
    <cellStyle name="Normal 3" xfId="19" xr:uid="{366D64CE-FC4C-4670-9F0C-C54AA12FCD31}"/>
    <cellStyle name="Note" xfId="38" xr:uid="{EA3A4629-43CE-45B2-AB1D-EEF234252B5E}"/>
    <cellStyle name="Porcentaje" xfId="2" builtinId="5"/>
    <cellStyle name="Porcentual 2" xfId="24" xr:uid="{B642AE2E-6634-4578-ACAC-FA4212848AC3}"/>
    <cellStyle name="Status" xfId="39" xr:uid="{B54ABA25-076F-471E-8473-DF9A712446E6}"/>
    <cellStyle name="TableStyleLight1" xfId="7" xr:uid="{00000000-0005-0000-0000-000012000000}"/>
    <cellStyle name="Text" xfId="40" xr:uid="{28B6A65D-5094-44D9-988A-9B62BD12DECC}"/>
    <cellStyle name="Warning" xfId="41" xr:uid="{A73C7ABF-17E4-40F5-9B6F-91ED7AB54635}"/>
  </cellStyles>
  <dxfs count="18">
    <dxf>
      <font>
        <color auto="1"/>
      </font>
      <fill>
        <patternFill>
          <bgColor theme="3" tint="0.79998168889431442"/>
        </patternFill>
      </fill>
    </dxf>
    <dxf>
      <font>
        <color auto="1"/>
      </font>
      <fill>
        <patternFill>
          <bgColor theme="3" tint="0.79998168889431442"/>
        </patternFill>
      </fill>
    </dxf>
    <dxf>
      <font>
        <color auto="1"/>
      </font>
      <fill>
        <patternFill>
          <bgColor theme="3" tint="0.79998168889431442"/>
        </patternFill>
      </fill>
    </dxf>
    <dxf>
      <font>
        <color auto="1"/>
      </font>
      <fill>
        <patternFill>
          <bgColor theme="3" tint="0.79998168889431442"/>
        </patternFill>
      </fill>
    </dxf>
    <dxf>
      <font>
        <color auto="1"/>
      </font>
      <fill>
        <patternFill>
          <bgColor theme="3" tint="0.79998168889431442"/>
        </patternFill>
      </fill>
    </dxf>
    <dxf>
      <font>
        <color auto="1"/>
      </font>
      <fill>
        <patternFill>
          <bgColor theme="3" tint="0.79998168889431442"/>
        </patternFill>
      </fill>
    </dxf>
    <dxf>
      <font>
        <color auto="1"/>
      </font>
      <fill>
        <patternFill>
          <bgColor theme="3" tint="0.79998168889431442"/>
        </patternFill>
      </fill>
    </dxf>
    <dxf>
      <font>
        <color auto="1"/>
      </font>
      <fill>
        <patternFill>
          <bgColor theme="3" tint="0.79998168889431442"/>
        </patternFill>
      </fill>
    </dxf>
    <dxf>
      <font>
        <color auto="1"/>
      </font>
      <fill>
        <patternFill>
          <bgColor theme="3" tint="0.79998168889431442"/>
        </patternFill>
      </fill>
    </dxf>
    <dxf>
      <font>
        <b/>
        <i val="0"/>
        <color theme="0"/>
      </font>
      <fill>
        <patternFill>
          <bgColor theme="0" tint="-0.499984740745262"/>
        </patternFill>
      </fill>
    </dxf>
    <dxf>
      <font>
        <b/>
        <i val="0"/>
        <color theme="0"/>
      </font>
      <fill>
        <patternFill>
          <bgColor theme="0" tint="-0.499984740745262"/>
        </patternFill>
      </fill>
    </dxf>
    <dxf>
      <font>
        <b val="0"/>
        <i val="0"/>
        <condense val="0"/>
        <extend val="0"/>
        <color indexed="53"/>
      </font>
    </dxf>
    <dxf>
      <font>
        <b val="0"/>
        <i val="0"/>
        <condense val="0"/>
        <extend val="0"/>
        <color indexed="53"/>
      </font>
    </dxf>
    <dxf>
      <font>
        <b val="0"/>
        <i val="0"/>
        <condense val="0"/>
        <extend val="0"/>
        <color indexed="53"/>
      </font>
    </dxf>
    <dxf>
      <font>
        <b val="0"/>
        <i val="0"/>
        <condense val="0"/>
        <extend val="0"/>
        <color indexed="53"/>
      </font>
    </dxf>
    <dxf>
      <font>
        <b val="0"/>
        <i val="0"/>
        <condense val="0"/>
        <extend val="0"/>
        <color indexed="53"/>
      </font>
    </dxf>
    <dxf>
      <font>
        <b val="0"/>
        <i val="0"/>
        <condense val="0"/>
        <extend val="0"/>
        <color indexed="53"/>
      </font>
    </dxf>
    <dxf>
      <font>
        <color auto="1"/>
      </font>
      <fill>
        <patternFill>
          <bgColor theme="3" tint="0.79998168889431442"/>
        </patternFill>
      </fill>
    </dxf>
  </dxfs>
  <tableStyles count="0" defaultTableStyle="TableStyleMedium9" defaultPivotStyle="PivotStyleLight16"/>
  <colors>
    <mruColors>
      <color rgb="FFCCFFCC"/>
      <color rgb="FF68B4F2"/>
      <color rgb="FF66FFCC"/>
      <color rgb="FF99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calcChain" Target="calcChain.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microsoft.com/office/2017/10/relationships/person" Target="persons/person.xml"/></Relationships>
</file>

<file path=xl/drawings/_rels/drawing8.xml.rels><?xml version="1.0" encoding="UTF-8" standalone="yes"?>
<Relationships xmlns="http://schemas.openxmlformats.org/package/2006/relationships"><Relationship Id="rId1" Type="http://schemas.openxmlformats.org/officeDocument/2006/relationships/image" Target="../media/image1.jpg"/></Relationships>
</file>

<file path=xl/drawings/drawing1.xml><?xml version="1.0" encoding="utf-8"?>
<xdr:wsDr xmlns:xdr="http://schemas.openxmlformats.org/drawingml/2006/spreadsheetDrawing" xmlns:a="http://schemas.openxmlformats.org/drawingml/2006/main">
  <xdr:twoCellAnchor>
    <xdr:from>
      <xdr:col>33</xdr:col>
      <xdr:colOff>0</xdr:colOff>
      <xdr:row>0</xdr:row>
      <xdr:rowOff>0</xdr:rowOff>
    </xdr:from>
    <xdr:to>
      <xdr:col>34</xdr:col>
      <xdr:colOff>95250</xdr:colOff>
      <xdr:row>0</xdr:row>
      <xdr:rowOff>0</xdr:rowOff>
    </xdr:to>
    <xdr:sp macro="" textlink="">
      <xdr:nvSpPr>
        <xdr:cNvPr id="2" name="Text Box 1">
          <a:extLst>
            <a:ext uri="{FF2B5EF4-FFF2-40B4-BE49-F238E27FC236}">
              <a16:creationId xmlns:a16="http://schemas.microsoft.com/office/drawing/2014/main" id="{00000000-0008-0000-0700-000002000000}"/>
            </a:ext>
          </a:extLst>
        </xdr:cNvPr>
        <xdr:cNvSpPr txBox="1">
          <a:spLocks noChangeArrowheads="1"/>
        </xdr:cNvSpPr>
      </xdr:nvSpPr>
      <xdr:spPr bwMode="auto">
        <a:xfrm>
          <a:off x="10372725" y="0"/>
          <a:ext cx="409575" cy="0"/>
        </a:xfrm>
        <a:prstGeom prst="rect">
          <a:avLst/>
        </a:prstGeom>
        <a:solidFill>
          <a:srgbClr val="FFFFFF"/>
        </a:solidFill>
        <a:ln w="9525">
          <a:solidFill>
            <a:srgbClr val="000000"/>
          </a:solidFill>
          <a:miter lim="800000"/>
          <a:headEnd/>
          <a:tailEnd/>
        </a:ln>
      </xdr:spPr>
    </xdr:sp>
    <xdr:clientData/>
  </xdr:twoCellAnchor>
  <xdr:twoCellAnchor>
    <xdr:from>
      <xdr:col>29</xdr:col>
      <xdr:colOff>171450</xdr:colOff>
      <xdr:row>0</xdr:row>
      <xdr:rowOff>0</xdr:rowOff>
    </xdr:from>
    <xdr:to>
      <xdr:col>34</xdr:col>
      <xdr:colOff>95250</xdr:colOff>
      <xdr:row>0</xdr:row>
      <xdr:rowOff>0</xdr:rowOff>
    </xdr:to>
    <xdr:sp macro="" textlink="">
      <xdr:nvSpPr>
        <xdr:cNvPr id="3" name="Text Box 2">
          <a:extLst>
            <a:ext uri="{FF2B5EF4-FFF2-40B4-BE49-F238E27FC236}">
              <a16:creationId xmlns:a16="http://schemas.microsoft.com/office/drawing/2014/main" id="{00000000-0008-0000-0700-000003000000}"/>
            </a:ext>
          </a:extLst>
        </xdr:cNvPr>
        <xdr:cNvSpPr txBox="1">
          <a:spLocks noChangeArrowheads="1"/>
        </xdr:cNvSpPr>
      </xdr:nvSpPr>
      <xdr:spPr bwMode="auto">
        <a:xfrm>
          <a:off x="9286875" y="0"/>
          <a:ext cx="1495425" cy="0"/>
        </a:xfrm>
        <a:prstGeom prst="rect">
          <a:avLst/>
        </a:prstGeom>
        <a:solidFill>
          <a:srgbClr val="FFFFFF"/>
        </a:solidFill>
        <a:ln w="9525">
          <a:solidFill>
            <a:srgbClr val="000000"/>
          </a:solidFill>
          <a:miter lim="800000"/>
          <a:headEnd/>
          <a:tailEnd/>
        </a:ln>
      </xdr:spPr>
      <xdr:txBody>
        <a:bodyPr vertOverflow="clip" wrap="square" lIns="27432" tIns="18288" rIns="27432" bIns="0" anchor="t" upright="1"/>
        <a:lstStyle/>
        <a:p>
          <a:pPr algn="ctr" rtl="0">
            <a:defRPr sz="1000"/>
          </a:pPr>
          <a:r>
            <a:rPr lang="es-ES" sz="1000" b="1" i="0" strike="noStrike">
              <a:solidFill>
                <a:srgbClr val="000000"/>
              </a:solidFill>
              <a:latin typeface="Arial"/>
              <a:cs typeface="Arial"/>
            </a:rPr>
            <a:t>0000000000</a:t>
          </a:r>
        </a:p>
      </xdr:txBody>
    </xdr:sp>
    <xdr:clientData/>
  </xdr:twoCellAnchor>
  <xdr:twoCellAnchor>
    <xdr:from>
      <xdr:col>1</xdr:col>
      <xdr:colOff>85725</xdr:colOff>
      <xdr:row>0</xdr:row>
      <xdr:rowOff>0</xdr:rowOff>
    </xdr:from>
    <xdr:to>
      <xdr:col>6</xdr:col>
      <xdr:colOff>161925</xdr:colOff>
      <xdr:row>0</xdr:row>
      <xdr:rowOff>0</xdr:rowOff>
    </xdr:to>
    <xdr:sp macro="" textlink="">
      <xdr:nvSpPr>
        <xdr:cNvPr id="4" name="Line 3">
          <a:extLst>
            <a:ext uri="{FF2B5EF4-FFF2-40B4-BE49-F238E27FC236}">
              <a16:creationId xmlns:a16="http://schemas.microsoft.com/office/drawing/2014/main" id="{00000000-0008-0000-0700-000004000000}"/>
            </a:ext>
          </a:extLst>
        </xdr:cNvPr>
        <xdr:cNvSpPr>
          <a:spLocks noChangeShapeType="1"/>
        </xdr:cNvSpPr>
      </xdr:nvSpPr>
      <xdr:spPr bwMode="auto">
        <a:xfrm>
          <a:off x="400050" y="0"/>
          <a:ext cx="1647825" cy="0"/>
        </a:xfrm>
        <a:prstGeom prst="line">
          <a:avLst/>
        </a:prstGeom>
        <a:noFill/>
        <a:ln w="15875">
          <a:solidFill>
            <a:srgbClr val="000000"/>
          </a:solidFill>
          <a:round/>
          <a:headEnd/>
          <a:tailEnd/>
        </a:ln>
      </xdr:spPr>
    </xdr:sp>
    <xdr:clientData/>
  </xdr:twoCellAnchor>
  <xdr:twoCellAnchor>
    <xdr:from>
      <xdr:col>14</xdr:col>
      <xdr:colOff>85725</xdr:colOff>
      <xdr:row>0</xdr:row>
      <xdr:rowOff>0</xdr:rowOff>
    </xdr:from>
    <xdr:to>
      <xdr:col>19</xdr:col>
      <xdr:colOff>228600</xdr:colOff>
      <xdr:row>0</xdr:row>
      <xdr:rowOff>0</xdr:rowOff>
    </xdr:to>
    <xdr:sp macro="" textlink="">
      <xdr:nvSpPr>
        <xdr:cNvPr id="5" name="Line 4">
          <a:extLst>
            <a:ext uri="{FF2B5EF4-FFF2-40B4-BE49-F238E27FC236}">
              <a16:creationId xmlns:a16="http://schemas.microsoft.com/office/drawing/2014/main" id="{00000000-0008-0000-0700-000005000000}"/>
            </a:ext>
          </a:extLst>
        </xdr:cNvPr>
        <xdr:cNvSpPr>
          <a:spLocks noChangeShapeType="1"/>
        </xdr:cNvSpPr>
      </xdr:nvSpPr>
      <xdr:spPr bwMode="auto">
        <a:xfrm>
          <a:off x="4486275" y="0"/>
          <a:ext cx="1714500" cy="0"/>
        </a:xfrm>
        <a:prstGeom prst="line">
          <a:avLst/>
        </a:prstGeom>
        <a:noFill/>
        <a:ln w="15875">
          <a:solidFill>
            <a:srgbClr val="000000"/>
          </a:solidFill>
          <a:round/>
          <a:headEnd/>
          <a:tailEnd/>
        </a:ln>
      </xdr:spPr>
    </xdr:sp>
    <xdr:clientData/>
  </xdr:twoCellAnchor>
  <xdr:twoCellAnchor>
    <xdr:from>
      <xdr:col>33</xdr:col>
      <xdr:colOff>0</xdr:colOff>
      <xdr:row>0</xdr:row>
      <xdr:rowOff>0</xdr:rowOff>
    </xdr:from>
    <xdr:to>
      <xdr:col>34</xdr:col>
      <xdr:colOff>95250</xdr:colOff>
      <xdr:row>0</xdr:row>
      <xdr:rowOff>0</xdr:rowOff>
    </xdr:to>
    <xdr:sp macro="" textlink="">
      <xdr:nvSpPr>
        <xdr:cNvPr id="6" name="Text Box 5">
          <a:extLst>
            <a:ext uri="{FF2B5EF4-FFF2-40B4-BE49-F238E27FC236}">
              <a16:creationId xmlns:a16="http://schemas.microsoft.com/office/drawing/2014/main" id="{00000000-0008-0000-0700-000006000000}"/>
            </a:ext>
          </a:extLst>
        </xdr:cNvPr>
        <xdr:cNvSpPr txBox="1">
          <a:spLocks noChangeArrowheads="1"/>
        </xdr:cNvSpPr>
      </xdr:nvSpPr>
      <xdr:spPr bwMode="auto">
        <a:xfrm>
          <a:off x="10372725" y="0"/>
          <a:ext cx="409575" cy="0"/>
        </a:xfrm>
        <a:prstGeom prst="rect">
          <a:avLst/>
        </a:prstGeom>
        <a:solidFill>
          <a:srgbClr val="FFFFFF"/>
        </a:solidFill>
        <a:ln w="9525">
          <a:solidFill>
            <a:srgbClr val="000000"/>
          </a:solidFill>
          <a:miter lim="800000"/>
          <a:headEnd/>
          <a:tailEnd/>
        </a:ln>
      </xdr:spPr>
    </xdr:sp>
    <xdr:clientData/>
  </xdr:twoCellAnchor>
  <xdr:twoCellAnchor>
    <xdr:from>
      <xdr:col>30</xdr:col>
      <xdr:colOff>9525</xdr:colOff>
      <xdr:row>0</xdr:row>
      <xdr:rowOff>0</xdr:rowOff>
    </xdr:from>
    <xdr:to>
      <xdr:col>34</xdr:col>
      <xdr:colOff>323850</xdr:colOff>
      <xdr:row>0</xdr:row>
      <xdr:rowOff>0</xdr:rowOff>
    </xdr:to>
    <xdr:sp macro="" textlink="">
      <xdr:nvSpPr>
        <xdr:cNvPr id="7" name="Text Box 6">
          <a:extLst>
            <a:ext uri="{FF2B5EF4-FFF2-40B4-BE49-F238E27FC236}">
              <a16:creationId xmlns:a16="http://schemas.microsoft.com/office/drawing/2014/main" id="{00000000-0008-0000-0700-000007000000}"/>
            </a:ext>
          </a:extLst>
        </xdr:cNvPr>
        <xdr:cNvSpPr txBox="1">
          <a:spLocks noChangeArrowheads="1"/>
        </xdr:cNvSpPr>
      </xdr:nvSpPr>
      <xdr:spPr bwMode="auto">
        <a:xfrm>
          <a:off x="9439275" y="0"/>
          <a:ext cx="1562100" cy="0"/>
        </a:xfrm>
        <a:prstGeom prst="rect">
          <a:avLst/>
        </a:prstGeom>
        <a:solidFill>
          <a:srgbClr val="FFFFFF"/>
        </a:solidFill>
        <a:ln w="9525">
          <a:solidFill>
            <a:srgbClr val="000000"/>
          </a:solidFill>
          <a:miter lim="800000"/>
          <a:headEnd/>
          <a:tailEnd/>
        </a:ln>
      </xdr:spPr>
    </xdr:sp>
    <xdr:clientData/>
  </xdr:twoCellAnchor>
  <xdr:twoCellAnchor>
    <xdr:from>
      <xdr:col>1</xdr:col>
      <xdr:colOff>95250</xdr:colOff>
      <xdr:row>0</xdr:row>
      <xdr:rowOff>0</xdr:rowOff>
    </xdr:from>
    <xdr:to>
      <xdr:col>6</xdr:col>
      <xdr:colOff>171450</xdr:colOff>
      <xdr:row>0</xdr:row>
      <xdr:rowOff>0</xdr:rowOff>
    </xdr:to>
    <xdr:sp macro="" textlink="">
      <xdr:nvSpPr>
        <xdr:cNvPr id="8" name="Line 7">
          <a:extLst>
            <a:ext uri="{FF2B5EF4-FFF2-40B4-BE49-F238E27FC236}">
              <a16:creationId xmlns:a16="http://schemas.microsoft.com/office/drawing/2014/main" id="{00000000-0008-0000-0700-000008000000}"/>
            </a:ext>
          </a:extLst>
        </xdr:cNvPr>
        <xdr:cNvSpPr>
          <a:spLocks noChangeShapeType="1"/>
        </xdr:cNvSpPr>
      </xdr:nvSpPr>
      <xdr:spPr bwMode="auto">
        <a:xfrm>
          <a:off x="409575" y="0"/>
          <a:ext cx="1647825" cy="0"/>
        </a:xfrm>
        <a:prstGeom prst="line">
          <a:avLst/>
        </a:prstGeom>
        <a:noFill/>
        <a:ln w="15875">
          <a:solidFill>
            <a:srgbClr val="000000"/>
          </a:solidFill>
          <a:round/>
          <a:headEnd/>
          <a:tailEnd/>
        </a:ln>
      </xdr:spPr>
    </xdr:sp>
    <xdr:clientData/>
  </xdr:twoCellAnchor>
  <xdr:twoCellAnchor>
    <xdr:from>
      <xdr:col>14</xdr:col>
      <xdr:colOff>209550</xdr:colOff>
      <xdr:row>0</xdr:row>
      <xdr:rowOff>0</xdr:rowOff>
    </xdr:from>
    <xdr:to>
      <xdr:col>20</xdr:col>
      <xdr:colOff>85725</xdr:colOff>
      <xdr:row>0</xdr:row>
      <xdr:rowOff>0</xdr:rowOff>
    </xdr:to>
    <xdr:sp macro="" textlink="">
      <xdr:nvSpPr>
        <xdr:cNvPr id="9" name="Line 8">
          <a:extLst>
            <a:ext uri="{FF2B5EF4-FFF2-40B4-BE49-F238E27FC236}">
              <a16:creationId xmlns:a16="http://schemas.microsoft.com/office/drawing/2014/main" id="{00000000-0008-0000-0700-000009000000}"/>
            </a:ext>
          </a:extLst>
        </xdr:cNvPr>
        <xdr:cNvSpPr>
          <a:spLocks noChangeShapeType="1"/>
        </xdr:cNvSpPr>
      </xdr:nvSpPr>
      <xdr:spPr bwMode="auto">
        <a:xfrm>
          <a:off x="4610100" y="0"/>
          <a:ext cx="1762125" cy="0"/>
        </a:xfrm>
        <a:prstGeom prst="line">
          <a:avLst/>
        </a:prstGeom>
        <a:noFill/>
        <a:ln w="15875">
          <a:solidFill>
            <a:srgbClr val="000000"/>
          </a:solidFill>
          <a:round/>
          <a:headEnd/>
          <a:tailEnd/>
        </a:ln>
      </xdr:spPr>
    </xdr:sp>
    <xdr:clientData/>
  </xdr:twoCellAnchor>
  <xdr:twoCellAnchor>
    <xdr:from>
      <xdr:col>33</xdr:col>
      <xdr:colOff>0</xdr:colOff>
      <xdr:row>0</xdr:row>
      <xdr:rowOff>0</xdr:rowOff>
    </xdr:from>
    <xdr:to>
      <xdr:col>34</xdr:col>
      <xdr:colOff>95250</xdr:colOff>
      <xdr:row>0</xdr:row>
      <xdr:rowOff>0</xdr:rowOff>
    </xdr:to>
    <xdr:sp macro="" textlink="">
      <xdr:nvSpPr>
        <xdr:cNvPr id="10" name="Text Box 9">
          <a:extLst>
            <a:ext uri="{FF2B5EF4-FFF2-40B4-BE49-F238E27FC236}">
              <a16:creationId xmlns:a16="http://schemas.microsoft.com/office/drawing/2014/main" id="{00000000-0008-0000-0700-00000A000000}"/>
            </a:ext>
          </a:extLst>
        </xdr:cNvPr>
        <xdr:cNvSpPr txBox="1">
          <a:spLocks noChangeArrowheads="1"/>
        </xdr:cNvSpPr>
      </xdr:nvSpPr>
      <xdr:spPr bwMode="auto">
        <a:xfrm>
          <a:off x="10372725" y="0"/>
          <a:ext cx="409575" cy="0"/>
        </a:xfrm>
        <a:prstGeom prst="rect">
          <a:avLst/>
        </a:prstGeom>
        <a:solidFill>
          <a:srgbClr val="FFFFFF"/>
        </a:solidFill>
        <a:ln w="9525">
          <a:solidFill>
            <a:srgbClr val="000000"/>
          </a:solidFill>
          <a:miter lim="800000"/>
          <a:headEnd/>
          <a:tailEnd/>
        </a:ln>
      </xdr:spPr>
    </xdr:sp>
    <xdr:clientData/>
  </xdr:twoCellAnchor>
  <xdr:twoCellAnchor>
    <xdr:from>
      <xdr:col>30</xdr:col>
      <xdr:colOff>9525</xdr:colOff>
      <xdr:row>0</xdr:row>
      <xdr:rowOff>0</xdr:rowOff>
    </xdr:from>
    <xdr:to>
      <xdr:col>34</xdr:col>
      <xdr:colOff>323850</xdr:colOff>
      <xdr:row>0</xdr:row>
      <xdr:rowOff>0</xdr:rowOff>
    </xdr:to>
    <xdr:sp macro="" textlink="">
      <xdr:nvSpPr>
        <xdr:cNvPr id="11" name="Text Box 10">
          <a:extLst>
            <a:ext uri="{FF2B5EF4-FFF2-40B4-BE49-F238E27FC236}">
              <a16:creationId xmlns:a16="http://schemas.microsoft.com/office/drawing/2014/main" id="{00000000-0008-0000-0700-00000B000000}"/>
            </a:ext>
          </a:extLst>
        </xdr:cNvPr>
        <xdr:cNvSpPr txBox="1">
          <a:spLocks noChangeArrowheads="1"/>
        </xdr:cNvSpPr>
      </xdr:nvSpPr>
      <xdr:spPr bwMode="auto">
        <a:xfrm>
          <a:off x="9439275" y="0"/>
          <a:ext cx="1562100" cy="0"/>
        </a:xfrm>
        <a:prstGeom prst="rect">
          <a:avLst/>
        </a:prstGeom>
        <a:solidFill>
          <a:srgbClr val="FFFFFF"/>
        </a:solidFill>
        <a:ln w="9525">
          <a:solidFill>
            <a:srgbClr val="000000"/>
          </a:solidFill>
          <a:miter lim="800000"/>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35</xdr:col>
      <xdr:colOff>0</xdr:colOff>
      <xdr:row>0</xdr:row>
      <xdr:rowOff>0</xdr:rowOff>
    </xdr:from>
    <xdr:to>
      <xdr:col>36</xdr:col>
      <xdr:colOff>95250</xdr:colOff>
      <xdr:row>0</xdr:row>
      <xdr:rowOff>0</xdr:rowOff>
    </xdr:to>
    <xdr:sp macro="" textlink="">
      <xdr:nvSpPr>
        <xdr:cNvPr id="2" name="Text Box 1">
          <a:extLst>
            <a:ext uri="{FF2B5EF4-FFF2-40B4-BE49-F238E27FC236}">
              <a16:creationId xmlns:a16="http://schemas.microsoft.com/office/drawing/2014/main" id="{00000000-0008-0000-0600-000002000000}"/>
            </a:ext>
          </a:extLst>
        </xdr:cNvPr>
        <xdr:cNvSpPr txBox="1">
          <a:spLocks noChangeArrowheads="1"/>
        </xdr:cNvSpPr>
      </xdr:nvSpPr>
      <xdr:spPr bwMode="auto">
        <a:xfrm>
          <a:off x="11001375" y="0"/>
          <a:ext cx="409575" cy="0"/>
        </a:xfrm>
        <a:prstGeom prst="rect">
          <a:avLst/>
        </a:prstGeom>
        <a:solidFill>
          <a:srgbClr val="FFFFFF"/>
        </a:solidFill>
        <a:ln w="9525">
          <a:solidFill>
            <a:srgbClr val="000000"/>
          </a:solidFill>
          <a:miter lim="800000"/>
          <a:headEnd/>
          <a:tailEnd/>
        </a:ln>
      </xdr:spPr>
    </xdr:sp>
    <xdr:clientData/>
  </xdr:twoCellAnchor>
  <xdr:twoCellAnchor>
    <xdr:from>
      <xdr:col>32</xdr:col>
      <xdr:colOff>177800</xdr:colOff>
      <xdr:row>0</xdr:row>
      <xdr:rowOff>0</xdr:rowOff>
    </xdr:from>
    <xdr:to>
      <xdr:col>36</xdr:col>
      <xdr:colOff>92115</xdr:colOff>
      <xdr:row>0</xdr:row>
      <xdr:rowOff>0</xdr:rowOff>
    </xdr:to>
    <xdr:sp macro="" textlink="">
      <xdr:nvSpPr>
        <xdr:cNvPr id="3" name="Text Box 2">
          <a:extLst>
            <a:ext uri="{FF2B5EF4-FFF2-40B4-BE49-F238E27FC236}">
              <a16:creationId xmlns:a16="http://schemas.microsoft.com/office/drawing/2014/main" id="{00000000-0008-0000-0600-000003000000}"/>
            </a:ext>
          </a:extLst>
        </xdr:cNvPr>
        <xdr:cNvSpPr txBox="1">
          <a:spLocks noChangeArrowheads="1"/>
        </xdr:cNvSpPr>
      </xdr:nvSpPr>
      <xdr:spPr bwMode="auto">
        <a:xfrm>
          <a:off x="10236200" y="0"/>
          <a:ext cx="1171615" cy="0"/>
        </a:xfrm>
        <a:prstGeom prst="rect">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r>
            <a:rPr lang="es-ES" sz="1000" b="1" i="0" strike="noStrike">
              <a:solidFill>
                <a:srgbClr val="000000"/>
              </a:solidFill>
              <a:latin typeface="Arial"/>
              <a:cs typeface="Arial"/>
            </a:rPr>
            <a:t>0000000000</a:t>
          </a:r>
        </a:p>
      </xdr:txBody>
    </xdr:sp>
    <xdr:clientData/>
  </xdr:twoCellAnchor>
  <xdr:twoCellAnchor>
    <xdr:from>
      <xdr:col>1</xdr:col>
      <xdr:colOff>85725</xdr:colOff>
      <xdr:row>0</xdr:row>
      <xdr:rowOff>0</xdr:rowOff>
    </xdr:from>
    <xdr:to>
      <xdr:col>6</xdr:col>
      <xdr:colOff>161925</xdr:colOff>
      <xdr:row>0</xdr:row>
      <xdr:rowOff>0</xdr:rowOff>
    </xdr:to>
    <xdr:sp macro="" textlink="">
      <xdr:nvSpPr>
        <xdr:cNvPr id="4" name="Line 3">
          <a:extLst>
            <a:ext uri="{FF2B5EF4-FFF2-40B4-BE49-F238E27FC236}">
              <a16:creationId xmlns:a16="http://schemas.microsoft.com/office/drawing/2014/main" id="{00000000-0008-0000-0600-000004000000}"/>
            </a:ext>
          </a:extLst>
        </xdr:cNvPr>
        <xdr:cNvSpPr>
          <a:spLocks noChangeShapeType="1"/>
        </xdr:cNvSpPr>
      </xdr:nvSpPr>
      <xdr:spPr bwMode="auto">
        <a:xfrm>
          <a:off x="400050" y="0"/>
          <a:ext cx="1647825" cy="0"/>
        </a:xfrm>
        <a:prstGeom prst="line">
          <a:avLst/>
        </a:prstGeom>
        <a:noFill/>
        <a:ln w="15875">
          <a:solidFill>
            <a:srgbClr val="000000"/>
          </a:solidFill>
          <a:round/>
          <a:headEnd/>
          <a:tailEnd/>
        </a:ln>
      </xdr:spPr>
    </xdr:sp>
    <xdr:clientData/>
  </xdr:twoCellAnchor>
  <xdr:twoCellAnchor>
    <xdr:from>
      <xdr:col>14</xdr:col>
      <xdr:colOff>85725</xdr:colOff>
      <xdr:row>0</xdr:row>
      <xdr:rowOff>0</xdr:rowOff>
    </xdr:from>
    <xdr:to>
      <xdr:col>19</xdr:col>
      <xdr:colOff>228600</xdr:colOff>
      <xdr:row>0</xdr:row>
      <xdr:rowOff>0</xdr:rowOff>
    </xdr:to>
    <xdr:sp macro="" textlink="">
      <xdr:nvSpPr>
        <xdr:cNvPr id="5" name="Line 4">
          <a:extLst>
            <a:ext uri="{FF2B5EF4-FFF2-40B4-BE49-F238E27FC236}">
              <a16:creationId xmlns:a16="http://schemas.microsoft.com/office/drawing/2014/main" id="{00000000-0008-0000-0600-000005000000}"/>
            </a:ext>
          </a:extLst>
        </xdr:cNvPr>
        <xdr:cNvSpPr>
          <a:spLocks noChangeShapeType="1"/>
        </xdr:cNvSpPr>
      </xdr:nvSpPr>
      <xdr:spPr bwMode="auto">
        <a:xfrm>
          <a:off x="4486275" y="0"/>
          <a:ext cx="1714500" cy="0"/>
        </a:xfrm>
        <a:prstGeom prst="line">
          <a:avLst/>
        </a:prstGeom>
        <a:noFill/>
        <a:ln w="15875">
          <a:solidFill>
            <a:srgbClr val="000000"/>
          </a:solidFill>
          <a:round/>
          <a:headEnd/>
          <a:tailEnd/>
        </a:ln>
      </xdr:spPr>
    </xdr:sp>
    <xdr:clientData/>
  </xdr:twoCellAnchor>
  <xdr:twoCellAnchor>
    <xdr:from>
      <xdr:col>35</xdr:col>
      <xdr:colOff>0</xdr:colOff>
      <xdr:row>0</xdr:row>
      <xdr:rowOff>0</xdr:rowOff>
    </xdr:from>
    <xdr:to>
      <xdr:col>36</xdr:col>
      <xdr:colOff>95250</xdr:colOff>
      <xdr:row>0</xdr:row>
      <xdr:rowOff>0</xdr:rowOff>
    </xdr:to>
    <xdr:sp macro="" textlink="">
      <xdr:nvSpPr>
        <xdr:cNvPr id="6" name="Text Box 5">
          <a:extLst>
            <a:ext uri="{FF2B5EF4-FFF2-40B4-BE49-F238E27FC236}">
              <a16:creationId xmlns:a16="http://schemas.microsoft.com/office/drawing/2014/main" id="{00000000-0008-0000-0600-000006000000}"/>
            </a:ext>
          </a:extLst>
        </xdr:cNvPr>
        <xdr:cNvSpPr txBox="1">
          <a:spLocks noChangeArrowheads="1"/>
        </xdr:cNvSpPr>
      </xdr:nvSpPr>
      <xdr:spPr bwMode="auto">
        <a:xfrm>
          <a:off x="11001375" y="0"/>
          <a:ext cx="409575" cy="0"/>
        </a:xfrm>
        <a:prstGeom prst="rect">
          <a:avLst/>
        </a:prstGeom>
        <a:solidFill>
          <a:srgbClr val="FFFFFF"/>
        </a:solidFill>
        <a:ln w="9525">
          <a:solidFill>
            <a:srgbClr val="000000"/>
          </a:solidFill>
          <a:miter lim="800000"/>
          <a:headEnd/>
          <a:tailEnd/>
        </a:ln>
      </xdr:spPr>
    </xdr:sp>
    <xdr:clientData/>
  </xdr:twoCellAnchor>
  <xdr:twoCellAnchor>
    <xdr:from>
      <xdr:col>33</xdr:col>
      <xdr:colOff>9525</xdr:colOff>
      <xdr:row>0</xdr:row>
      <xdr:rowOff>0</xdr:rowOff>
    </xdr:from>
    <xdr:to>
      <xdr:col>36</xdr:col>
      <xdr:colOff>323850</xdr:colOff>
      <xdr:row>0</xdr:row>
      <xdr:rowOff>0</xdr:rowOff>
    </xdr:to>
    <xdr:sp macro="" textlink="">
      <xdr:nvSpPr>
        <xdr:cNvPr id="7" name="Text Box 6">
          <a:extLst>
            <a:ext uri="{FF2B5EF4-FFF2-40B4-BE49-F238E27FC236}">
              <a16:creationId xmlns:a16="http://schemas.microsoft.com/office/drawing/2014/main" id="{00000000-0008-0000-0600-000007000000}"/>
            </a:ext>
          </a:extLst>
        </xdr:cNvPr>
        <xdr:cNvSpPr txBox="1">
          <a:spLocks noChangeArrowheads="1"/>
        </xdr:cNvSpPr>
      </xdr:nvSpPr>
      <xdr:spPr bwMode="auto">
        <a:xfrm>
          <a:off x="10382250" y="0"/>
          <a:ext cx="1247775" cy="0"/>
        </a:xfrm>
        <a:prstGeom prst="rect">
          <a:avLst/>
        </a:prstGeom>
        <a:solidFill>
          <a:srgbClr val="FFFFFF"/>
        </a:solidFill>
        <a:ln w="9525">
          <a:solidFill>
            <a:srgbClr val="000000"/>
          </a:solidFill>
          <a:miter lim="800000"/>
          <a:headEnd/>
          <a:tailEnd/>
        </a:ln>
      </xdr:spPr>
    </xdr:sp>
    <xdr:clientData/>
  </xdr:twoCellAnchor>
  <xdr:twoCellAnchor>
    <xdr:from>
      <xdr:col>1</xdr:col>
      <xdr:colOff>95250</xdr:colOff>
      <xdr:row>0</xdr:row>
      <xdr:rowOff>0</xdr:rowOff>
    </xdr:from>
    <xdr:to>
      <xdr:col>6</xdr:col>
      <xdr:colOff>171450</xdr:colOff>
      <xdr:row>0</xdr:row>
      <xdr:rowOff>0</xdr:rowOff>
    </xdr:to>
    <xdr:sp macro="" textlink="">
      <xdr:nvSpPr>
        <xdr:cNvPr id="8" name="Line 7">
          <a:extLst>
            <a:ext uri="{FF2B5EF4-FFF2-40B4-BE49-F238E27FC236}">
              <a16:creationId xmlns:a16="http://schemas.microsoft.com/office/drawing/2014/main" id="{00000000-0008-0000-0600-000008000000}"/>
            </a:ext>
          </a:extLst>
        </xdr:cNvPr>
        <xdr:cNvSpPr>
          <a:spLocks noChangeShapeType="1"/>
        </xdr:cNvSpPr>
      </xdr:nvSpPr>
      <xdr:spPr bwMode="auto">
        <a:xfrm>
          <a:off x="409575" y="0"/>
          <a:ext cx="1647825" cy="0"/>
        </a:xfrm>
        <a:prstGeom prst="line">
          <a:avLst/>
        </a:prstGeom>
        <a:noFill/>
        <a:ln w="15875">
          <a:solidFill>
            <a:srgbClr val="000000"/>
          </a:solidFill>
          <a:round/>
          <a:headEnd/>
          <a:tailEnd/>
        </a:ln>
      </xdr:spPr>
    </xdr:sp>
    <xdr:clientData/>
  </xdr:twoCellAnchor>
  <xdr:twoCellAnchor>
    <xdr:from>
      <xdr:col>14</xdr:col>
      <xdr:colOff>209550</xdr:colOff>
      <xdr:row>0</xdr:row>
      <xdr:rowOff>0</xdr:rowOff>
    </xdr:from>
    <xdr:to>
      <xdr:col>20</xdr:col>
      <xdr:colOff>85725</xdr:colOff>
      <xdr:row>0</xdr:row>
      <xdr:rowOff>0</xdr:rowOff>
    </xdr:to>
    <xdr:sp macro="" textlink="">
      <xdr:nvSpPr>
        <xdr:cNvPr id="9" name="Line 8">
          <a:extLst>
            <a:ext uri="{FF2B5EF4-FFF2-40B4-BE49-F238E27FC236}">
              <a16:creationId xmlns:a16="http://schemas.microsoft.com/office/drawing/2014/main" id="{00000000-0008-0000-0600-000009000000}"/>
            </a:ext>
          </a:extLst>
        </xdr:cNvPr>
        <xdr:cNvSpPr>
          <a:spLocks noChangeShapeType="1"/>
        </xdr:cNvSpPr>
      </xdr:nvSpPr>
      <xdr:spPr bwMode="auto">
        <a:xfrm>
          <a:off x="4610100" y="0"/>
          <a:ext cx="1762125" cy="0"/>
        </a:xfrm>
        <a:prstGeom prst="line">
          <a:avLst/>
        </a:prstGeom>
        <a:noFill/>
        <a:ln w="15875">
          <a:solidFill>
            <a:srgbClr val="000000"/>
          </a:solidFill>
          <a:round/>
          <a:headEnd/>
          <a:tailEnd/>
        </a:ln>
      </xdr:spPr>
    </xdr: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6517</xdr:colOff>
      <xdr:row>4</xdr:row>
      <xdr:rowOff>0</xdr:rowOff>
    </xdr:from>
    <xdr:to>
      <xdr:col>13</xdr:col>
      <xdr:colOff>6517</xdr:colOff>
      <xdr:row>4</xdr:row>
      <xdr:rowOff>2507</xdr:rowOff>
    </xdr:to>
    <xdr:sp macro="" textlink="">
      <xdr:nvSpPr>
        <xdr:cNvPr id="2" name="AutoShape 109">
          <a:extLst>
            <a:ext uri="{FF2B5EF4-FFF2-40B4-BE49-F238E27FC236}">
              <a16:creationId xmlns:a16="http://schemas.microsoft.com/office/drawing/2014/main" id="{00000000-0008-0000-0100-000002000000}"/>
            </a:ext>
          </a:extLst>
        </xdr:cNvPr>
        <xdr:cNvSpPr>
          <a:spLocks noChangeArrowheads="1"/>
        </xdr:cNvSpPr>
      </xdr:nvSpPr>
      <xdr:spPr bwMode="auto">
        <a:xfrm>
          <a:off x="11065042"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6</xdr:col>
      <xdr:colOff>6517</xdr:colOff>
      <xdr:row>4</xdr:row>
      <xdr:rowOff>0</xdr:rowOff>
    </xdr:from>
    <xdr:to>
      <xdr:col>6</xdr:col>
      <xdr:colOff>6517</xdr:colOff>
      <xdr:row>4</xdr:row>
      <xdr:rowOff>2507</xdr:rowOff>
    </xdr:to>
    <xdr:sp macro="" textlink="">
      <xdr:nvSpPr>
        <xdr:cNvPr id="3" name="AutoShape 109">
          <a:extLst>
            <a:ext uri="{FF2B5EF4-FFF2-40B4-BE49-F238E27FC236}">
              <a16:creationId xmlns:a16="http://schemas.microsoft.com/office/drawing/2014/main" id="{00000000-0008-0000-0100-000003000000}"/>
            </a:ext>
          </a:extLst>
        </xdr:cNvPr>
        <xdr:cNvSpPr>
          <a:spLocks noChangeArrowheads="1"/>
        </xdr:cNvSpPr>
      </xdr:nvSpPr>
      <xdr:spPr bwMode="auto">
        <a:xfrm>
          <a:off x="5588167"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3</xdr:col>
      <xdr:colOff>6517</xdr:colOff>
      <xdr:row>4</xdr:row>
      <xdr:rowOff>0</xdr:rowOff>
    </xdr:from>
    <xdr:to>
      <xdr:col>3</xdr:col>
      <xdr:colOff>6517</xdr:colOff>
      <xdr:row>4</xdr:row>
      <xdr:rowOff>2507</xdr:rowOff>
    </xdr:to>
    <xdr:sp macro="" textlink="">
      <xdr:nvSpPr>
        <xdr:cNvPr id="4" name="AutoShape 109">
          <a:extLst>
            <a:ext uri="{FF2B5EF4-FFF2-40B4-BE49-F238E27FC236}">
              <a16:creationId xmlns:a16="http://schemas.microsoft.com/office/drawing/2014/main" id="{00000000-0008-0000-0100-000004000000}"/>
            </a:ext>
          </a:extLst>
        </xdr:cNvPr>
        <xdr:cNvSpPr>
          <a:spLocks noChangeArrowheads="1"/>
        </xdr:cNvSpPr>
      </xdr:nvSpPr>
      <xdr:spPr bwMode="auto">
        <a:xfrm>
          <a:off x="3930817"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3</xdr:col>
      <xdr:colOff>6517</xdr:colOff>
      <xdr:row>4</xdr:row>
      <xdr:rowOff>0</xdr:rowOff>
    </xdr:from>
    <xdr:to>
      <xdr:col>3</xdr:col>
      <xdr:colOff>6517</xdr:colOff>
      <xdr:row>4</xdr:row>
      <xdr:rowOff>2507</xdr:rowOff>
    </xdr:to>
    <xdr:sp macro="" textlink="">
      <xdr:nvSpPr>
        <xdr:cNvPr id="5" name="AutoShape 109">
          <a:extLst>
            <a:ext uri="{FF2B5EF4-FFF2-40B4-BE49-F238E27FC236}">
              <a16:creationId xmlns:a16="http://schemas.microsoft.com/office/drawing/2014/main" id="{00000000-0008-0000-0100-000005000000}"/>
            </a:ext>
          </a:extLst>
        </xdr:cNvPr>
        <xdr:cNvSpPr>
          <a:spLocks noChangeArrowheads="1"/>
        </xdr:cNvSpPr>
      </xdr:nvSpPr>
      <xdr:spPr bwMode="auto">
        <a:xfrm>
          <a:off x="3930817"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3</xdr:col>
      <xdr:colOff>6517</xdr:colOff>
      <xdr:row>4</xdr:row>
      <xdr:rowOff>0</xdr:rowOff>
    </xdr:from>
    <xdr:to>
      <xdr:col>3</xdr:col>
      <xdr:colOff>6517</xdr:colOff>
      <xdr:row>4</xdr:row>
      <xdr:rowOff>2507</xdr:rowOff>
    </xdr:to>
    <xdr:sp macro="" textlink="">
      <xdr:nvSpPr>
        <xdr:cNvPr id="6" name="AutoShape 109">
          <a:extLst>
            <a:ext uri="{FF2B5EF4-FFF2-40B4-BE49-F238E27FC236}">
              <a16:creationId xmlns:a16="http://schemas.microsoft.com/office/drawing/2014/main" id="{00000000-0008-0000-0100-000006000000}"/>
            </a:ext>
          </a:extLst>
        </xdr:cNvPr>
        <xdr:cNvSpPr>
          <a:spLocks noChangeArrowheads="1"/>
        </xdr:cNvSpPr>
      </xdr:nvSpPr>
      <xdr:spPr bwMode="auto">
        <a:xfrm>
          <a:off x="3930817"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xdr:col>
      <xdr:colOff>6517</xdr:colOff>
      <xdr:row>4</xdr:row>
      <xdr:rowOff>0</xdr:rowOff>
    </xdr:from>
    <xdr:to>
      <xdr:col>3</xdr:col>
      <xdr:colOff>6517</xdr:colOff>
      <xdr:row>4</xdr:row>
      <xdr:rowOff>2507</xdr:rowOff>
    </xdr:to>
    <xdr:sp macro="" textlink="">
      <xdr:nvSpPr>
        <xdr:cNvPr id="2" name="AutoShape 109">
          <a:extLst>
            <a:ext uri="{FF2B5EF4-FFF2-40B4-BE49-F238E27FC236}">
              <a16:creationId xmlns:a16="http://schemas.microsoft.com/office/drawing/2014/main" id="{00000000-0008-0000-0300-000002000000}"/>
            </a:ext>
          </a:extLst>
        </xdr:cNvPr>
        <xdr:cNvSpPr>
          <a:spLocks noChangeArrowheads="1"/>
        </xdr:cNvSpPr>
      </xdr:nvSpPr>
      <xdr:spPr bwMode="auto">
        <a:xfrm>
          <a:off x="4445167"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3</xdr:col>
      <xdr:colOff>6517</xdr:colOff>
      <xdr:row>4</xdr:row>
      <xdr:rowOff>0</xdr:rowOff>
    </xdr:from>
    <xdr:to>
      <xdr:col>3</xdr:col>
      <xdr:colOff>6517</xdr:colOff>
      <xdr:row>4</xdr:row>
      <xdr:rowOff>2507</xdr:rowOff>
    </xdr:to>
    <xdr:sp macro="" textlink="">
      <xdr:nvSpPr>
        <xdr:cNvPr id="3" name="AutoShape 109">
          <a:extLst>
            <a:ext uri="{FF2B5EF4-FFF2-40B4-BE49-F238E27FC236}">
              <a16:creationId xmlns:a16="http://schemas.microsoft.com/office/drawing/2014/main" id="{00000000-0008-0000-0300-000003000000}"/>
            </a:ext>
          </a:extLst>
        </xdr:cNvPr>
        <xdr:cNvSpPr>
          <a:spLocks noChangeArrowheads="1"/>
        </xdr:cNvSpPr>
      </xdr:nvSpPr>
      <xdr:spPr bwMode="auto">
        <a:xfrm>
          <a:off x="4445167"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3</xdr:col>
      <xdr:colOff>6517</xdr:colOff>
      <xdr:row>4</xdr:row>
      <xdr:rowOff>0</xdr:rowOff>
    </xdr:from>
    <xdr:to>
      <xdr:col>3</xdr:col>
      <xdr:colOff>6517</xdr:colOff>
      <xdr:row>4</xdr:row>
      <xdr:rowOff>2507</xdr:rowOff>
    </xdr:to>
    <xdr:sp macro="" textlink="">
      <xdr:nvSpPr>
        <xdr:cNvPr id="4" name="AutoShape 109">
          <a:extLst>
            <a:ext uri="{FF2B5EF4-FFF2-40B4-BE49-F238E27FC236}">
              <a16:creationId xmlns:a16="http://schemas.microsoft.com/office/drawing/2014/main" id="{00000000-0008-0000-0300-000004000000}"/>
            </a:ext>
          </a:extLst>
        </xdr:cNvPr>
        <xdr:cNvSpPr>
          <a:spLocks noChangeArrowheads="1"/>
        </xdr:cNvSpPr>
      </xdr:nvSpPr>
      <xdr:spPr bwMode="auto">
        <a:xfrm>
          <a:off x="4445167"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26</xdr:col>
      <xdr:colOff>6517</xdr:colOff>
      <xdr:row>3</xdr:row>
      <xdr:rowOff>285750</xdr:rowOff>
    </xdr:from>
    <xdr:to>
      <xdr:col>26</xdr:col>
      <xdr:colOff>6517</xdr:colOff>
      <xdr:row>5</xdr:row>
      <xdr:rowOff>2507</xdr:rowOff>
    </xdr:to>
    <xdr:sp macro="" textlink="">
      <xdr:nvSpPr>
        <xdr:cNvPr id="2" name="AutoShape 109">
          <a:extLst>
            <a:ext uri="{FF2B5EF4-FFF2-40B4-BE49-F238E27FC236}">
              <a16:creationId xmlns:a16="http://schemas.microsoft.com/office/drawing/2014/main" id="{00000000-0008-0000-0200-000002000000}"/>
            </a:ext>
          </a:extLst>
        </xdr:cNvPr>
        <xdr:cNvSpPr>
          <a:spLocks noChangeArrowheads="1"/>
        </xdr:cNvSpPr>
      </xdr:nvSpPr>
      <xdr:spPr bwMode="auto">
        <a:xfrm>
          <a:off x="17561092" y="1190625"/>
          <a:ext cx="0" cy="12032"/>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13</xdr:col>
      <xdr:colOff>6517</xdr:colOff>
      <xdr:row>3</xdr:row>
      <xdr:rowOff>285750</xdr:rowOff>
    </xdr:from>
    <xdr:to>
      <xdr:col>13</xdr:col>
      <xdr:colOff>6517</xdr:colOff>
      <xdr:row>5</xdr:row>
      <xdr:rowOff>2507</xdr:rowOff>
    </xdr:to>
    <xdr:sp macro="" textlink="">
      <xdr:nvSpPr>
        <xdr:cNvPr id="3" name="AutoShape 109">
          <a:extLst>
            <a:ext uri="{FF2B5EF4-FFF2-40B4-BE49-F238E27FC236}">
              <a16:creationId xmlns:a16="http://schemas.microsoft.com/office/drawing/2014/main" id="{00000000-0008-0000-0200-000003000000}"/>
            </a:ext>
          </a:extLst>
        </xdr:cNvPr>
        <xdr:cNvSpPr>
          <a:spLocks noChangeArrowheads="1"/>
        </xdr:cNvSpPr>
      </xdr:nvSpPr>
      <xdr:spPr bwMode="auto">
        <a:xfrm>
          <a:off x="9226717" y="1190625"/>
          <a:ext cx="0" cy="12032"/>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11</xdr:col>
      <xdr:colOff>6517</xdr:colOff>
      <xdr:row>3</xdr:row>
      <xdr:rowOff>285750</xdr:rowOff>
    </xdr:from>
    <xdr:to>
      <xdr:col>11</xdr:col>
      <xdr:colOff>6517</xdr:colOff>
      <xdr:row>5</xdr:row>
      <xdr:rowOff>2507</xdr:rowOff>
    </xdr:to>
    <xdr:sp macro="" textlink="">
      <xdr:nvSpPr>
        <xdr:cNvPr id="4" name="AutoShape 109">
          <a:extLst>
            <a:ext uri="{FF2B5EF4-FFF2-40B4-BE49-F238E27FC236}">
              <a16:creationId xmlns:a16="http://schemas.microsoft.com/office/drawing/2014/main" id="{00000000-0008-0000-0200-000004000000}"/>
            </a:ext>
          </a:extLst>
        </xdr:cNvPr>
        <xdr:cNvSpPr>
          <a:spLocks noChangeArrowheads="1"/>
        </xdr:cNvSpPr>
      </xdr:nvSpPr>
      <xdr:spPr bwMode="auto">
        <a:xfrm>
          <a:off x="7721767" y="1190625"/>
          <a:ext cx="0" cy="12032"/>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11</xdr:col>
      <xdr:colOff>6517</xdr:colOff>
      <xdr:row>3</xdr:row>
      <xdr:rowOff>285750</xdr:rowOff>
    </xdr:from>
    <xdr:to>
      <xdr:col>11</xdr:col>
      <xdr:colOff>6517</xdr:colOff>
      <xdr:row>5</xdr:row>
      <xdr:rowOff>2507</xdr:rowOff>
    </xdr:to>
    <xdr:sp macro="" textlink="">
      <xdr:nvSpPr>
        <xdr:cNvPr id="5" name="AutoShape 109">
          <a:extLst>
            <a:ext uri="{FF2B5EF4-FFF2-40B4-BE49-F238E27FC236}">
              <a16:creationId xmlns:a16="http://schemas.microsoft.com/office/drawing/2014/main" id="{00000000-0008-0000-0200-000005000000}"/>
            </a:ext>
          </a:extLst>
        </xdr:cNvPr>
        <xdr:cNvSpPr>
          <a:spLocks noChangeArrowheads="1"/>
        </xdr:cNvSpPr>
      </xdr:nvSpPr>
      <xdr:spPr bwMode="auto">
        <a:xfrm>
          <a:off x="7721767" y="1190625"/>
          <a:ext cx="0" cy="12032"/>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11</xdr:col>
      <xdr:colOff>6517</xdr:colOff>
      <xdr:row>3</xdr:row>
      <xdr:rowOff>285750</xdr:rowOff>
    </xdr:from>
    <xdr:to>
      <xdr:col>11</xdr:col>
      <xdr:colOff>6517</xdr:colOff>
      <xdr:row>5</xdr:row>
      <xdr:rowOff>2507</xdr:rowOff>
    </xdr:to>
    <xdr:sp macro="" textlink="">
      <xdr:nvSpPr>
        <xdr:cNvPr id="6" name="AutoShape 109">
          <a:extLst>
            <a:ext uri="{FF2B5EF4-FFF2-40B4-BE49-F238E27FC236}">
              <a16:creationId xmlns:a16="http://schemas.microsoft.com/office/drawing/2014/main" id="{00000000-0008-0000-0200-000006000000}"/>
            </a:ext>
          </a:extLst>
        </xdr:cNvPr>
        <xdr:cNvSpPr>
          <a:spLocks noChangeArrowheads="1"/>
        </xdr:cNvSpPr>
      </xdr:nvSpPr>
      <xdr:spPr bwMode="auto">
        <a:xfrm>
          <a:off x="7721767" y="1190625"/>
          <a:ext cx="0" cy="12032"/>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6</xdr:col>
      <xdr:colOff>6517</xdr:colOff>
      <xdr:row>4</xdr:row>
      <xdr:rowOff>0</xdr:rowOff>
    </xdr:from>
    <xdr:to>
      <xdr:col>6</xdr:col>
      <xdr:colOff>6517</xdr:colOff>
      <xdr:row>4</xdr:row>
      <xdr:rowOff>2507</xdr:rowOff>
    </xdr:to>
    <xdr:sp macro="" textlink="">
      <xdr:nvSpPr>
        <xdr:cNvPr id="11" name="AutoShape 109">
          <a:extLst>
            <a:ext uri="{FF2B5EF4-FFF2-40B4-BE49-F238E27FC236}">
              <a16:creationId xmlns:a16="http://schemas.microsoft.com/office/drawing/2014/main" id="{8972F4DC-6241-4623-B91E-02E4E7912CF6}"/>
            </a:ext>
          </a:extLst>
        </xdr:cNvPr>
        <xdr:cNvSpPr>
          <a:spLocks noChangeArrowheads="1"/>
        </xdr:cNvSpPr>
      </xdr:nvSpPr>
      <xdr:spPr bwMode="auto">
        <a:xfrm>
          <a:off x="4210217" y="68580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6</xdr:col>
      <xdr:colOff>6517</xdr:colOff>
      <xdr:row>4</xdr:row>
      <xdr:rowOff>0</xdr:rowOff>
    </xdr:from>
    <xdr:to>
      <xdr:col>6</xdr:col>
      <xdr:colOff>6517</xdr:colOff>
      <xdr:row>4</xdr:row>
      <xdr:rowOff>2507</xdr:rowOff>
    </xdr:to>
    <xdr:sp macro="" textlink="">
      <xdr:nvSpPr>
        <xdr:cNvPr id="12" name="AutoShape 109">
          <a:extLst>
            <a:ext uri="{FF2B5EF4-FFF2-40B4-BE49-F238E27FC236}">
              <a16:creationId xmlns:a16="http://schemas.microsoft.com/office/drawing/2014/main" id="{0A4E84F4-E18E-4E28-95C8-ED8750343D61}"/>
            </a:ext>
          </a:extLst>
        </xdr:cNvPr>
        <xdr:cNvSpPr>
          <a:spLocks noChangeArrowheads="1"/>
        </xdr:cNvSpPr>
      </xdr:nvSpPr>
      <xdr:spPr bwMode="auto">
        <a:xfrm>
          <a:off x="4210217" y="68580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6</xdr:col>
      <xdr:colOff>6517</xdr:colOff>
      <xdr:row>4</xdr:row>
      <xdr:rowOff>0</xdr:rowOff>
    </xdr:from>
    <xdr:to>
      <xdr:col>6</xdr:col>
      <xdr:colOff>6517</xdr:colOff>
      <xdr:row>4</xdr:row>
      <xdr:rowOff>2507</xdr:rowOff>
    </xdr:to>
    <xdr:sp macro="" textlink="">
      <xdr:nvSpPr>
        <xdr:cNvPr id="13" name="AutoShape 109">
          <a:extLst>
            <a:ext uri="{FF2B5EF4-FFF2-40B4-BE49-F238E27FC236}">
              <a16:creationId xmlns:a16="http://schemas.microsoft.com/office/drawing/2014/main" id="{65C7F20C-1A23-4798-A267-07D891E8ABF4}"/>
            </a:ext>
          </a:extLst>
        </xdr:cNvPr>
        <xdr:cNvSpPr>
          <a:spLocks noChangeArrowheads="1"/>
        </xdr:cNvSpPr>
      </xdr:nvSpPr>
      <xdr:spPr bwMode="auto">
        <a:xfrm>
          <a:off x="4210217" y="68580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25</xdr:col>
      <xdr:colOff>6517</xdr:colOff>
      <xdr:row>4</xdr:row>
      <xdr:rowOff>0</xdr:rowOff>
    </xdr:from>
    <xdr:to>
      <xdr:col>25</xdr:col>
      <xdr:colOff>6517</xdr:colOff>
      <xdr:row>4</xdr:row>
      <xdr:rowOff>2507</xdr:rowOff>
    </xdr:to>
    <xdr:sp macro="" textlink="">
      <xdr:nvSpPr>
        <xdr:cNvPr id="2" name="AutoShape 109">
          <a:extLst>
            <a:ext uri="{FF2B5EF4-FFF2-40B4-BE49-F238E27FC236}">
              <a16:creationId xmlns:a16="http://schemas.microsoft.com/office/drawing/2014/main" id="{00000000-0008-0000-0400-000002000000}"/>
            </a:ext>
          </a:extLst>
        </xdr:cNvPr>
        <xdr:cNvSpPr>
          <a:spLocks noChangeArrowheads="1"/>
        </xdr:cNvSpPr>
      </xdr:nvSpPr>
      <xdr:spPr bwMode="auto">
        <a:xfrm>
          <a:off x="28295767"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20</xdr:col>
      <xdr:colOff>6517</xdr:colOff>
      <xdr:row>4</xdr:row>
      <xdr:rowOff>0</xdr:rowOff>
    </xdr:from>
    <xdr:to>
      <xdr:col>20</xdr:col>
      <xdr:colOff>6517</xdr:colOff>
      <xdr:row>4</xdr:row>
      <xdr:rowOff>2507</xdr:rowOff>
    </xdr:to>
    <xdr:sp macro="" textlink="">
      <xdr:nvSpPr>
        <xdr:cNvPr id="3" name="AutoShape 109">
          <a:extLst>
            <a:ext uri="{FF2B5EF4-FFF2-40B4-BE49-F238E27FC236}">
              <a16:creationId xmlns:a16="http://schemas.microsoft.com/office/drawing/2014/main" id="{00000000-0008-0000-0400-000003000000}"/>
            </a:ext>
          </a:extLst>
        </xdr:cNvPr>
        <xdr:cNvSpPr>
          <a:spLocks noChangeArrowheads="1"/>
        </xdr:cNvSpPr>
      </xdr:nvSpPr>
      <xdr:spPr bwMode="auto">
        <a:xfrm>
          <a:off x="25562092"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3</xdr:col>
      <xdr:colOff>6517</xdr:colOff>
      <xdr:row>4</xdr:row>
      <xdr:rowOff>0</xdr:rowOff>
    </xdr:from>
    <xdr:to>
      <xdr:col>3</xdr:col>
      <xdr:colOff>6517</xdr:colOff>
      <xdr:row>4</xdr:row>
      <xdr:rowOff>2507</xdr:rowOff>
    </xdr:to>
    <xdr:sp macro="" textlink="">
      <xdr:nvSpPr>
        <xdr:cNvPr id="4" name="AutoShape 109">
          <a:extLst>
            <a:ext uri="{FF2B5EF4-FFF2-40B4-BE49-F238E27FC236}">
              <a16:creationId xmlns:a16="http://schemas.microsoft.com/office/drawing/2014/main" id="{00000000-0008-0000-0400-000004000000}"/>
            </a:ext>
          </a:extLst>
        </xdr:cNvPr>
        <xdr:cNvSpPr>
          <a:spLocks noChangeArrowheads="1"/>
        </xdr:cNvSpPr>
      </xdr:nvSpPr>
      <xdr:spPr bwMode="auto">
        <a:xfrm>
          <a:off x="3425992"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3</xdr:col>
      <xdr:colOff>6517</xdr:colOff>
      <xdr:row>4</xdr:row>
      <xdr:rowOff>0</xdr:rowOff>
    </xdr:from>
    <xdr:to>
      <xdr:col>3</xdr:col>
      <xdr:colOff>6517</xdr:colOff>
      <xdr:row>4</xdr:row>
      <xdr:rowOff>2507</xdr:rowOff>
    </xdr:to>
    <xdr:sp macro="" textlink="">
      <xdr:nvSpPr>
        <xdr:cNvPr id="5" name="AutoShape 109">
          <a:extLst>
            <a:ext uri="{FF2B5EF4-FFF2-40B4-BE49-F238E27FC236}">
              <a16:creationId xmlns:a16="http://schemas.microsoft.com/office/drawing/2014/main" id="{00000000-0008-0000-0400-000005000000}"/>
            </a:ext>
          </a:extLst>
        </xdr:cNvPr>
        <xdr:cNvSpPr>
          <a:spLocks noChangeArrowheads="1"/>
        </xdr:cNvSpPr>
      </xdr:nvSpPr>
      <xdr:spPr bwMode="auto">
        <a:xfrm>
          <a:off x="3425992"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3</xdr:col>
      <xdr:colOff>6517</xdr:colOff>
      <xdr:row>4</xdr:row>
      <xdr:rowOff>0</xdr:rowOff>
    </xdr:from>
    <xdr:to>
      <xdr:col>3</xdr:col>
      <xdr:colOff>6517</xdr:colOff>
      <xdr:row>4</xdr:row>
      <xdr:rowOff>2507</xdr:rowOff>
    </xdr:to>
    <xdr:sp macro="" textlink="">
      <xdr:nvSpPr>
        <xdr:cNvPr id="6" name="AutoShape 109">
          <a:extLst>
            <a:ext uri="{FF2B5EF4-FFF2-40B4-BE49-F238E27FC236}">
              <a16:creationId xmlns:a16="http://schemas.microsoft.com/office/drawing/2014/main" id="{00000000-0008-0000-0400-000006000000}"/>
            </a:ext>
          </a:extLst>
        </xdr:cNvPr>
        <xdr:cNvSpPr>
          <a:spLocks noChangeArrowheads="1"/>
        </xdr:cNvSpPr>
      </xdr:nvSpPr>
      <xdr:spPr bwMode="auto">
        <a:xfrm>
          <a:off x="3425992" y="120015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3</xdr:col>
      <xdr:colOff>6517</xdr:colOff>
      <xdr:row>4</xdr:row>
      <xdr:rowOff>0</xdr:rowOff>
    </xdr:from>
    <xdr:to>
      <xdr:col>3</xdr:col>
      <xdr:colOff>6517</xdr:colOff>
      <xdr:row>4</xdr:row>
      <xdr:rowOff>2507</xdr:rowOff>
    </xdr:to>
    <xdr:sp macro="" textlink="">
      <xdr:nvSpPr>
        <xdr:cNvPr id="3" name="AutoShape 109">
          <a:extLst>
            <a:ext uri="{FF2B5EF4-FFF2-40B4-BE49-F238E27FC236}">
              <a16:creationId xmlns:a16="http://schemas.microsoft.com/office/drawing/2014/main" id="{E4D9D766-AD78-4E2D-B105-6F7163F0837B}"/>
            </a:ext>
          </a:extLst>
        </xdr:cNvPr>
        <xdr:cNvSpPr>
          <a:spLocks noChangeArrowheads="1"/>
        </xdr:cNvSpPr>
      </xdr:nvSpPr>
      <xdr:spPr bwMode="auto">
        <a:xfrm>
          <a:off x="4749967" y="68580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2</xdr:col>
      <xdr:colOff>6517</xdr:colOff>
      <xdr:row>4</xdr:row>
      <xdr:rowOff>0</xdr:rowOff>
    </xdr:from>
    <xdr:to>
      <xdr:col>2</xdr:col>
      <xdr:colOff>6517</xdr:colOff>
      <xdr:row>4</xdr:row>
      <xdr:rowOff>2507</xdr:rowOff>
    </xdr:to>
    <xdr:sp macro="" textlink="">
      <xdr:nvSpPr>
        <xdr:cNvPr id="4" name="AutoShape 109">
          <a:extLst>
            <a:ext uri="{FF2B5EF4-FFF2-40B4-BE49-F238E27FC236}">
              <a16:creationId xmlns:a16="http://schemas.microsoft.com/office/drawing/2014/main" id="{A1B60DC3-D30E-423E-98F1-654A1B5F36E6}"/>
            </a:ext>
          </a:extLst>
        </xdr:cNvPr>
        <xdr:cNvSpPr>
          <a:spLocks noChangeArrowheads="1"/>
        </xdr:cNvSpPr>
      </xdr:nvSpPr>
      <xdr:spPr bwMode="auto">
        <a:xfrm>
          <a:off x="4203700" y="68580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2</xdr:col>
      <xdr:colOff>6517</xdr:colOff>
      <xdr:row>4</xdr:row>
      <xdr:rowOff>0</xdr:rowOff>
    </xdr:from>
    <xdr:to>
      <xdr:col>2</xdr:col>
      <xdr:colOff>6517</xdr:colOff>
      <xdr:row>4</xdr:row>
      <xdr:rowOff>2507</xdr:rowOff>
    </xdr:to>
    <xdr:sp macro="" textlink="">
      <xdr:nvSpPr>
        <xdr:cNvPr id="5" name="AutoShape 109">
          <a:extLst>
            <a:ext uri="{FF2B5EF4-FFF2-40B4-BE49-F238E27FC236}">
              <a16:creationId xmlns:a16="http://schemas.microsoft.com/office/drawing/2014/main" id="{9E05DA6B-9D4C-4F6E-8F12-EC9FDC48CB27}"/>
            </a:ext>
          </a:extLst>
        </xdr:cNvPr>
        <xdr:cNvSpPr>
          <a:spLocks noChangeArrowheads="1"/>
        </xdr:cNvSpPr>
      </xdr:nvSpPr>
      <xdr:spPr bwMode="auto">
        <a:xfrm>
          <a:off x="4203700" y="68580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2</xdr:col>
      <xdr:colOff>6517</xdr:colOff>
      <xdr:row>4</xdr:row>
      <xdr:rowOff>0</xdr:rowOff>
    </xdr:from>
    <xdr:to>
      <xdr:col>2</xdr:col>
      <xdr:colOff>6517</xdr:colOff>
      <xdr:row>4</xdr:row>
      <xdr:rowOff>2507</xdr:rowOff>
    </xdr:to>
    <xdr:sp macro="" textlink="">
      <xdr:nvSpPr>
        <xdr:cNvPr id="6" name="AutoShape 109">
          <a:extLst>
            <a:ext uri="{FF2B5EF4-FFF2-40B4-BE49-F238E27FC236}">
              <a16:creationId xmlns:a16="http://schemas.microsoft.com/office/drawing/2014/main" id="{5C6932F6-8D37-43DF-9F04-1280464F801F}"/>
            </a:ext>
          </a:extLst>
        </xdr:cNvPr>
        <xdr:cNvSpPr>
          <a:spLocks noChangeArrowheads="1"/>
        </xdr:cNvSpPr>
      </xdr:nvSpPr>
      <xdr:spPr bwMode="auto">
        <a:xfrm>
          <a:off x="4203700" y="685800"/>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twoCellAnchor>
    <xdr:from>
      <xdr:col>19</xdr:col>
      <xdr:colOff>6517</xdr:colOff>
      <xdr:row>4</xdr:row>
      <xdr:rowOff>0</xdr:rowOff>
    </xdr:from>
    <xdr:to>
      <xdr:col>19</xdr:col>
      <xdr:colOff>6517</xdr:colOff>
      <xdr:row>4</xdr:row>
      <xdr:rowOff>2507</xdr:rowOff>
    </xdr:to>
    <xdr:sp macro="" textlink="">
      <xdr:nvSpPr>
        <xdr:cNvPr id="7" name="AutoShape 109">
          <a:extLst>
            <a:ext uri="{FF2B5EF4-FFF2-40B4-BE49-F238E27FC236}">
              <a16:creationId xmlns:a16="http://schemas.microsoft.com/office/drawing/2014/main" id="{9BF386CF-3ACE-4991-A774-2DB1D548AACB}"/>
            </a:ext>
          </a:extLst>
        </xdr:cNvPr>
        <xdr:cNvSpPr>
          <a:spLocks noChangeArrowheads="1"/>
        </xdr:cNvSpPr>
      </xdr:nvSpPr>
      <xdr:spPr bwMode="auto">
        <a:xfrm>
          <a:off x="5362929" y="687294"/>
          <a:ext cx="0" cy="2507"/>
        </a:xfrm>
        <a:prstGeom prst="bevel">
          <a:avLst>
            <a:gd name="adj" fmla="val 12500"/>
          </a:avLst>
        </a:prstGeom>
        <a:noFill/>
        <a:ln w="9525">
          <a:solidFill>
            <a:srgbClr val="000000"/>
          </a:solidFill>
          <a:miter lim="800000"/>
          <a:headEnd/>
          <a:tailEnd/>
        </a:ln>
      </xdr:spPr>
      <xdr:txBody>
        <a:bodyPr vertOverflow="clip" wrap="square" lIns="27432" tIns="22860" rIns="27432" bIns="0" anchor="t" upright="1"/>
        <a:lstStyle/>
        <a:p>
          <a:pPr algn="ctr" rtl="1">
            <a:defRPr sz="1000"/>
          </a:pPr>
          <a:r>
            <a:rPr lang="es-ES" sz="900" b="0" i="0" strike="noStrike">
              <a:solidFill>
                <a:srgbClr val="000000"/>
              </a:solidFill>
              <a:latin typeface="Arial"/>
              <a:cs typeface="Arial"/>
            </a:rPr>
            <a:t>Buscar</a:t>
          </a:r>
        </a:p>
      </xdr:txBody>
    </xdr:sp>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38100</xdr:colOff>
      <xdr:row>0</xdr:row>
      <xdr:rowOff>70970</xdr:rowOff>
    </xdr:from>
    <xdr:to>
      <xdr:col>4</xdr:col>
      <xdr:colOff>1025070</xdr:colOff>
      <xdr:row>6</xdr:row>
      <xdr:rowOff>129159</xdr:rowOff>
    </xdr:to>
    <xdr:pic>
      <xdr:nvPicPr>
        <xdr:cNvPr id="5" name="Imagen 4">
          <a:extLst>
            <a:ext uri="{FF2B5EF4-FFF2-40B4-BE49-F238E27FC236}">
              <a16:creationId xmlns:a16="http://schemas.microsoft.com/office/drawing/2014/main" id="{A6A819F4-9D02-4A56-B8F3-5F4EE8B6FA5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100" y="70970"/>
          <a:ext cx="1748970" cy="1163089"/>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ebextensions/_rels/taskpanes.xml.rels><?xml version="1.0" encoding="UTF-8" standalone="yes"?>
<Relationships xmlns="http://schemas.openxmlformats.org/package/2006/relationships"><Relationship Id="rId2" Type="http://schemas.microsoft.com/office/2011/relationships/webextension" Target="webextension2.xml"/><Relationship Id="rId1" Type="http://schemas.microsoft.com/office/2011/relationships/webextension" Target="webextension1.xml"/></Relationships>
</file>

<file path=xl/webextensions/taskpanes.xml><?xml version="1.0" encoding="utf-8"?>
<wetp:taskpanes xmlns:wetp="http://schemas.microsoft.com/office/webextensions/taskpanes/2010/11">
  <wetp:taskpane dockstate="right" visibility="0" width="525" row="8">
    <wetp:webextensionref xmlns:r="http://schemas.openxmlformats.org/officeDocument/2006/relationships" r:id="rId1"/>
  </wetp:taskpane>
  <wetp:taskpane dockstate="right" visibility="0" width="0" row="0">
    <wetp:webextensionref xmlns:r="http://schemas.openxmlformats.org/officeDocument/2006/relationships" r:id="rId2"/>
  </wetp:taskpane>
</wetp:taskpanes>
</file>

<file path=xl/webextensions/webextension1.xml><?xml version="1.0" encoding="utf-8"?>
<we:webextension xmlns:we="http://schemas.microsoft.com/office/webextensions/webextension/2010/11" id="{A3CFBCB6-E0AC-4916-9574-BC2131CF7C35}">
  <we:reference id="wa104051163" version="1.2.0.3" store="es-ES" storeType="OMEX"/>
  <we:alternateReferences>
    <we:reference id="WA104051163" version="1.2.0.3" store="WA104051163" storeType="OMEX"/>
  </we:alternateReferences>
  <we:properties/>
  <we:bindings/>
  <we:snapshot xmlns:r="http://schemas.openxmlformats.org/officeDocument/2006/relationships"/>
</we:webextension>
</file>

<file path=xl/webextensions/webextension2.xml><?xml version="1.0" encoding="utf-8"?>
<we:webextension xmlns:we="http://schemas.microsoft.com/office/webextensions/webextension/2010/11" id="{2ECB0B35-389F-4BE9-9F9E-2CD5BFD9EEDE}">
  <we:reference id="wa104380862" version="1.5.0.0" store="es-ES" storeType="OMEX"/>
  <we:alternateReferences>
    <we:reference id="WA104380862" version="1.5.0.0" store="" storeType="OMEX"/>
  </we:alternateReferences>
  <we:properties/>
  <we:bindings/>
  <we:snapshot xmlns:r="http://schemas.openxmlformats.org/officeDocument/2006/relationships"/>
</we:webextension>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hyperlink" Target="mailto:jvelizn@srianexos.com" TargetMode="External"/><Relationship Id="rId2" Type="http://schemas.openxmlformats.org/officeDocument/2006/relationships/hyperlink" Target="mailto:miemail@gmail.com" TargetMode="External"/><Relationship Id="rId1" Type="http://schemas.openxmlformats.org/officeDocument/2006/relationships/hyperlink" Target="mailto:miemail@hotmail.com" TargetMode="External"/><Relationship Id="rId4"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9.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F2D4A0-6534-4930-A5BF-FE8A77C2F0E7}">
  <sheetPr codeName="Hoja24">
    <tabColor theme="0" tint="-0.499984740745262"/>
    <pageSetUpPr fitToPage="1"/>
  </sheetPr>
  <dimension ref="A1:BC6"/>
  <sheetViews>
    <sheetView showGridLines="0" zoomScaleNormal="100" workbookViewId="0">
      <pane ySplit="6" topLeftCell="A7" activePane="bottomLeft" state="frozen"/>
      <selection activeCell="A7" sqref="A7"/>
      <selection pane="bottomLeft" activeCell="A7" sqref="A7"/>
    </sheetView>
  </sheetViews>
  <sheetFormatPr baseColWidth="10" defaultColWidth="9.1796875" defaultRowHeight="11.5" x14ac:dyDescent="0.25"/>
  <cols>
    <col min="1" max="1" width="9.26953125" style="506" customWidth="1"/>
    <col min="2" max="2" width="11" style="506" customWidth="1"/>
    <col min="3" max="3" width="11" style="530" customWidth="1"/>
    <col min="4" max="5" width="11" style="506" customWidth="1"/>
    <col min="6" max="6" width="16.26953125" style="506" customWidth="1"/>
    <col min="7" max="7" width="28.453125" style="504" customWidth="1"/>
    <col min="8" max="9" width="9" style="508" customWidth="1"/>
    <col min="10" max="10" width="4.26953125" style="509" bestFit="1" customWidth="1"/>
    <col min="11" max="11" width="15.54296875" style="504" customWidth="1"/>
    <col min="12" max="12" width="20.1796875" style="504" customWidth="1"/>
    <col min="13" max="13" width="23" style="504" customWidth="1"/>
    <col min="14" max="14" width="10.453125" style="504" bestFit="1" customWidth="1"/>
    <col min="15" max="258" width="9.1796875" style="504"/>
    <col min="259" max="259" width="13.81640625" style="504" customWidth="1"/>
    <col min="260" max="260" width="80.1796875" style="504" customWidth="1"/>
    <col min="261" max="262" width="12.1796875" style="504" customWidth="1"/>
    <col min="263" max="514" width="9.1796875" style="504"/>
    <col min="515" max="515" width="13.81640625" style="504" customWidth="1"/>
    <col min="516" max="516" width="80.1796875" style="504" customWidth="1"/>
    <col min="517" max="518" width="12.1796875" style="504" customWidth="1"/>
    <col min="519" max="770" width="9.1796875" style="504"/>
    <col min="771" max="771" width="13.81640625" style="504" customWidth="1"/>
    <col min="772" max="772" width="80.1796875" style="504" customWidth="1"/>
    <col min="773" max="774" width="12.1796875" style="504" customWidth="1"/>
    <col min="775" max="1026" width="9.1796875" style="504"/>
    <col min="1027" max="1027" width="13.81640625" style="504" customWidth="1"/>
    <col min="1028" max="1028" width="80.1796875" style="504" customWidth="1"/>
    <col min="1029" max="1030" width="12.1796875" style="504" customWidth="1"/>
    <col min="1031" max="1282" width="9.1796875" style="504"/>
    <col min="1283" max="1283" width="13.81640625" style="504" customWidth="1"/>
    <col min="1284" max="1284" width="80.1796875" style="504" customWidth="1"/>
    <col min="1285" max="1286" width="12.1796875" style="504" customWidth="1"/>
    <col min="1287" max="1538" width="9.1796875" style="504"/>
    <col min="1539" max="1539" width="13.81640625" style="504" customWidth="1"/>
    <col min="1540" max="1540" width="80.1796875" style="504" customWidth="1"/>
    <col min="1541" max="1542" width="12.1796875" style="504" customWidth="1"/>
    <col min="1543" max="1794" width="9.1796875" style="504"/>
    <col min="1795" max="1795" width="13.81640625" style="504" customWidth="1"/>
    <col min="1796" max="1796" width="80.1796875" style="504" customWidth="1"/>
    <col min="1797" max="1798" width="12.1796875" style="504" customWidth="1"/>
    <col min="1799" max="2050" width="9.1796875" style="504"/>
    <col min="2051" max="2051" width="13.81640625" style="504" customWidth="1"/>
    <col min="2052" max="2052" width="80.1796875" style="504" customWidth="1"/>
    <col min="2053" max="2054" width="12.1796875" style="504" customWidth="1"/>
    <col min="2055" max="2306" width="9.1796875" style="504"/>
    <col min="2307" max="2307" width="13.81640625" style="504" customWidth="1"/>
    <col min="2308" max="2308" width="80.1796875" style="504" customWidth="1"/>
    <col min="2309" max="2310" width="12.1796875" style="504" customWidth="1"/>
    <col min="2311" max="2562" width="9.1796875" style="504"/>
    <col min="2563" max="2563" width="13.81640625" style="504" customWidth="1"/>
    <col min="2564" max="2564" width="80.1796875" style="504" customWidth="1"/>
    <col min="2565" max="2566" width="12.1796875" style="504" customWidth="1"/>
    <col min="2567" max="2818" width="9.1796875" style="504"/>
    <col min="2819" max="2819" width="13.81640625" style="504" customWidth="1"/>
    <col min="2820" max="2820" width="80.1796875" style="504" customWidth="1"/>
    <col min="2821" max="2822" width="12.1796875" style="504" customWidth="1"/>
    <col min="2823" max="3074" width="9.1796875" style="504"/>
    <col min="3075" max="3075" width="13.81640625" style="504" customWidth="1"/>
    <col min="3076" max="3076" width="80.1796875" style="504" customWidth="1"/>
    <col min="3077" max="3078" width="12.1796875" style="504" customWidth="1"/>
    <col min="3079" max="3330" width="9.1796875" style="504"/>
    <col min="3331" max="3331" width="13.81640625" style="504" customWidth="1"/>
    <col min="3332" max="3332" width="80.1796875" style="504" customWidth="1"/>
    <col min="3333" max="3334" width="12.1796875" style="504" customWidth="1"/>
    <col min="3335" max="3586" width="9.1796875" style="504"/>
    <col min="3587" max="3587" width="13.81640625" style="504" customWidth="1"/>
    <col min="3588" max="3588" width="80.1796875" style="504" customWidth="1"/>
    <col min="3589" max="3590" width="12.1796875" style="504" customWidth="1"/>
    <col min="3591" max="3842" width="9.1796875" style="504"/>
    <col min="3843" max="3843" width="13.81640625" style="504" customWidth="1"/>
    <col min="3844" max="3844" width="80.1796875" style="504" customWidth="1"/>
    <col min="3845" max="3846" width="12.1796875" style="504" customWidth="1"/>
    <col min="3847" max="4098" width="9.1796875" style="504"/>
    <col min="4099" max="4099" width="13.81640625" style="504" customWidth="1"/>
    <col min="4100" max="4100" width="80.1796875" style="504" customWidth="1"/>
    <col min="4101" max="4102" width="12.1796875" style="504" customWidth="1"/>
    <col min="4103" max="4354" width="9.1796875" style="504"/>
    <col min="4355" max="4355" width="13.81640625" style="504" customWidth="1"/>
    <col min="4356" max="4356" width="80.1796875" style="504" customWidth="1"/>
    <col min="4357" max="4358" width="12.1796875" style="504" customWidth="1"/>
    <col min="4359" max="4610" width="9.1796875" style="504"/>
    <col min="4611" max="4611" width="13.81640625" style="504" customWidth="1"/>
    <col min="4612" max="4612" width="80.1796875" style="504" customWidth="1"/>
    <col min="4613" max="4614" width="12.1796875" style="504" customWidth="1"/>
    <col min="4615" max="4866" width="9.1796875" style="504"/>
    <col min="4867" max="4867" width="13.81640625" style="504" customWidth="1"/>
    <col min="4868" max="4868" width="80.1796875" style="504" customWidth="1"/>
    <col min="4869" max="4870" width="12.1796875" style="504" customWidth="1"/>
    <col min="4871" max="5122" width="9.1796875" style="504"/>
    <col min="5123" max="5123" width="13.81640625" style="504" customWidth="1"/>
    <col min="5124" max="5124" width="80.1796875" style="504" customWidth="1"/>
    <col min="5125" max="5126" width="12.1796875" style="504" customWidth="1"/>
    <col min="5127" max="5378" width="9.1796875" style="504"/>
    <col min="5379" max="5379" width="13.81640625" style="504" customWidth="1"/>
    <col min="5380" max="5380" width="80.1796875" style="504" customWidth="1"/>
    <col min="5381" max="5382" width="12.1796875" style="504" customWidth="1"/>
    <col min="5383" max="5634" width="9.1796875" style="504"/>
    <col min="5635" max="5635" width="13.81640625" style="504" customWidth="1"/>
    <col min="5636" max="5636" width="80.1796875" style="504" customWidth="1"/>
    <col min="5637" max="5638" width="12.1796875" style="504" customWidth="1"/>
    <col min="5639" max="5890" width="9.1796875" style="504"/>
    <col min="5891" max="5891" width="13.81640625" style="504" customWidth="1"/>
    <col min="5892" max="5892" width="80.1796875" style="504" customWidth="1"/>
    <col min="5893" max="5894" width="12.1796875" style="504" customWidth="1"/>
    <col min="5895" max="6146" width="9.1796875" style="504"/>
    <col min="6147" max="6147" width="13.81640625" style="504" customWidth="1"/>
    <col min="6148" max="6148" width="80.1796875" style="504" customWidth="1"/>
    <col min="6149" max="6150" width="12.1796875" style="504" customWidth="1"/>
    <col min="6151" max="6402" width="9.1796875" style="504"/>
    <col min="6403" max="6403" width="13.81640625" style="504" customWidth="1"/>
    <col min="6404" max="6404" width="80.1796875" style="504" customWidth="1"/>
    <col min="6405" max="6406" width="12.1796875" style="504" customWidth="1"/>
    <col min="6407" max="6658" width="9.1796875" style="504"/>
    <col min="6659" max="6659" width="13.81640625" style="504" customWidth="1"/>
    <col min="6660" max="6660" width="80.1796875" style="504" customWidth="1"/>
    <col min="6661" max="6662" width="12.1796875" style="504" customWidth="1"/>
    <col min="6663" max="6914" width="9.1796875" style="504"/>
    <col min="6915" max="6915" width="13.81640625" style="504" customWidth="1"/>
    <col min="6916" max="6916" width="80.1796875" style="504" customWidth="1"/>
    <col min="6917" max="6918" width="12.1796875" style="504" customWidth="1"/>
    <col min="6919" max="7170" width="9.1796875" style="504"/>
    <col min="7171" max="7171" width="13.81640625" style="504" customWidth="1"/>
    <col min="7172" max="7172" width="80.1796875" style="504" customWidth="1"/>
    <col min="7173" max="7174" width="12.1796875" style="504" customWidth="1"/>
    <col min="7175" max="7426" width="9.1796875" style="504"/>
    <col min="7427" max="7427" width="13.81640625" style="504" customWidth="1"/>
    <col min="7428" max="7428" width="80.1796875" style="504" customWidth="1"/>
    <col min="7429" max="7430" width="12.1796875" style="504" customWidth="1"/>
    <col min="7431" max="7682" width="9.1796875" style="504"/>
    <col min="7683" max="7683" width="13.81640625" style="504" customWidth="1"/>
    <col min="7684" max="7684" width="80.1796875" style="504" customWidth="1"/>
    <col min="7685" max="7686" width="12.1796875" style="504" customWidth="1"/>
    <col min="7687" max="7938" width="9.1796875" style="504"/>
    <col min="7939" max="7939" width="13.81640625" style="504" customWidth="1"/>
    <col min="7940" max="7940" width="80.1796875" style="504" customWidth="1"/>
    <col min="7941" max="7942" width="12.1796875" style="504" customWidth="1"/>
    <col min="7943" max="8194" width="9.1796875" style="504"/>
    <col min="8195" max="8195" width="13.81640625" style="504" customWidth="1"/>
    <col min="8196" max="8196" width="80.1796875" style="504" customWidth="1"/>
    <col min="8197" max="8198" width="12.1796875" style="504" customWidth="1"/>
    <col min="8199" max="8450" width="9.1796875" style="504"/>
    <col min="8451" max="8451" width="13.81640625" style="504" customWidth="1"/>
    <col min="8452" max="8452" width="80.1796875" style="504" customWidth="1"/>
    <col min="8453" max="8454" width="12.1796875" style="504" customWidth="1"/>
    <col min="8455" max="8706" width="9.1796875" style="504"/>
    <col min="8707" max="8707" width="13.81640625" style="504" customWidth="1"/>
    <col min="8708" max="8708" width="80.1796875" style="504" customWidth="1"/>
    <col min="8709" max="8710" width="12.1796875" style="504" customWidth="1"/>
    <col min="8711" max="8962" width="9.1796875" style="504"/>
    <col min="8963" max="8963" width="13.81640625" style="504" customWidth="1"/>
    <col min="8964" max="8964" width="80.1796875" style="504" customWidth="1"/>
    <col min="8965" max="8966" width="12.1796875" style="504" customWidth="1"/>
    <col min="8967" max="9218" width="9.1796875" style="504"/>
    <col min="9219" max="9219" width="13.81640625" style="504" customWidth="1"/>
    <col min="9220" max="9220" width="80.1796875" style="504" customWidth="1"/>
    <col min="9221" max="9222" width="12.1796875" style="504" customWidth="1"/>
    <col min="9223" max="9474" width="9.1796875" style="504"/>
    <col min="9475" max="9475" width="13.81640625" style="504" customWidth="1"/>
    <col min="9476" max="9476" width="80.1796875" style="504" customWidth="1"/>
    <col min="9477" max="9478" width="12.1796875" style="504" customWidth="1"/>
    <col min="9479" max="9730" width="9.1796875" style="504"/>
    <col min="9731" max="9731" width="13.81640625" style="504" customWidth="1"/>
    <col min="9732" max="9732" width="80.1796875" style="504" customWidth="1"/>
    <col min="9733" max="9734" width="12.1796875" style="504" customWidth="1"/>
    <col min="9735" max="9986" width="9.1796875" style="504"/>
    <col min="9987" max="9987" width="13.81640625" style="504" customWidth="1"/>
    <col min="9988" max="9988" width="80.1796875" style="504" customWidth="1"/>
    <col min="9989" max="9990" width="12.1796875" style="504" customWidth="1"/>
    <col min="9991" max="10242" width="9.1796875" style="504"/>
    <col min="10243" max="10243" width="13.81640625" style="504" customWidth="1"/>
    <col min="10244" max="10244" width="80.1796875" style="504" customWidth="1"/>
    <col min="10245" max="10246" width="12.1796875" style="504" customWidth="1"/>
    <col min="10247" max="10498" width="9.1796875" style="504"/>
    <col min="10499" max="10499" width="13.81640625" style="504" customWidth="1"/>
    <col min="10500" max="10500" width="80.1796875" style="504" customWidth="1"/>
    <col min="10501" max="10502" width="12.1796875" style="504" customWidth="1"/>
    <col min="10503" max="10754" width="9.1796875" style="504"/>
    <col min="10755" max="10755" width="13.81640625" style="504" customWidth="1"/>
    <col min="10756" max="10756" width="80.1796875" style="504" customWidth="1"/>
    <col min="10757" max="10758" width="12.1796875" style="504" customWidth="1"/>
    <col min="10759" max="11010" width="9.1796875" style="504"/>
    <col min="11011" max="11011" width="13.81640625" style="504" customWidth="1"/>
    <col min="11012" max="11012" width="80.1796875" style="504" customWidth="1"/>
    <col min="11013" max="11014" width="12.1796875" style="504" customWidth="1"/>
    <col min="11015" max="11266" width="9.1796875" style="504"/>
    <col min="11267" max="11267" width="13.81640625" style="504" customWidth="1"/>
    <col min="11268" max="11268" width="80.1796875" style="504" customWidth="1"/>
    <col min="11269" max="11270" width="12.1796875" style="504" customWidth="1"/>
    <col min="11271" max="11522" width="9.1796875" style="504"/>
    <col min="11523" max="11523" width="13.81640625" style="504" customWidth="1"/>
    <col min="11524" max="11524" width="80.1796875" style="504" customWidth="1"/>
    <col min="11525" max="11526" width="12.1796875" style="504" customWidth="1"/>
    <col min="11527" max="11778" width="9.1796875" style="504"/>
    <col min="11779" max="11779" width="13.81640625" style="504" customWidth="1"/>
    <col min="11780" max="11780" width="80.1796875" style="504" customWidth="1"/>
    <col min="11781" max="11782" width="12.1796875" style="504" customWidth="1"/>
    <col min="11783" max="12034" width="9.1796875" style="504"/>
    <col min="12035" max="12035" width="13.81640625" style="504" customWidth="1"/>
    <col min="12036" max="12036" width="80.1796875" style="504" customWidth="1"/>
    <col min="12037" max="12038" width="12.1796875" style="504" customWidth="1"/>
    <col min="12039" max="12290" width="9.1796875" style="504"/>
    <col min="12291" max="12291" width="13.81640625" style="504" customWidth="1"/>
    <col min="12292" max="12292" width="80.1796875" style="504" customWidth="1"/>
    <col min="12293" max="12294" width="12.1796875" style="504" customWidth="1"/>
    <col min="12295" max="12546" width="9.1796875" style="504"/>
    <col min="12547" max="12547" width="13.81640625" style="504" customWidth="1"/>
    <col min="12548" max="12548" width="80.1796875" style="504" customWidth="1"/>
    <col min="12549" max="12550" width="12.1796875" style="504" customWidth="1"/>
    <col min="12551" max="12802" width="9.1796875" style="504"/>
    <col min="12803" max="12803" width="13.81640625" style="504" customWidth="1"/>
    <col min="12804" max="12804" width="80.1796875" style="504" customWidth="1"/>
    <col min="12805" max="12806" width="12.1796875" style="504" customWidth="1"/>
    <col min="12807" max="13058" width="9.1796875" style="504"/>
    <col min="13059" max="13059" width="13.81640625" style="504" customWidth="1"/>
    <col min="13060" max="13060" width="80.1796875" style="504" customWidth="1"/>
    <col min="13061" max="13062" width="12.1796875" style="504" customWidth="1"/>
    <col min="13063" max="13314" width="9.1796875" style="504"/>
    <col min="13315" max="13315" width="13.81640625" style="504" customWidth="1"/>
    <col min="13316" max="13316" width="80.1796875" style="504" customWidth="1"/>
    <col min="13317" max="13318" width="12.1796875" style="504" customWidth="1"/>
    <col min="13319" max="13570" width="9.1796875" style="504"/>
    <col min="13571" max="13571" width="13.81640625" style="504" customWidth="1"/>
    <col min="13572" max="13572" width="80.1796875" style="504" customWidth="1"/>
    <col min="13573" max="13574" width="12.1796875" style="504" customWidth="1"/>
    <col min="13575" max="13826" width="9.1796875" style="504"/>
    <col min="13827" max="13827" width="13.81640625" style="504" customWidth="1"/>
    <col min="13828" max="13828" width="80.1796875" style="504" customWidth="1"/>
    <col min="13829" max="13830" width="12.1796875" style="504" customWidth="1"/>
    <col min="13831" max="14082" width="9.1796875" style="504"/>
    <col min="14083" max="14083" width="13.81640625" style="504" customWidth="1"/>
    <col min="14084" max="14084" width="80.1796875" style="504" customWidth="1"/>
    <col min="14085" max="14086" width="12.1796875" style="504" customWidth="1"/>
    <col min="14087" max="14338" width="9.1796875" style="504"/>
    <col min="14339" max="14339" width="13.81640625" style="504" customWidth="1"/>
    <col min="14340" max="14340" width="80.1796875" style="504" customWidth="1"/>
    <col min="14341" max="14342" width="12.1796875" style="504" customWidth="1"/>
    <col min="14343" max="14594" width="9.1796875" style="504"/>
    <col min="14595" max="14595" width="13.81640625" style="504" customWidth="1"/>
    <col min="14596" max="14596" width="80.1796875" style="504" customWidth="1"/>
    <col min="14597" max="14598" width="12.1796875" style="504" customWidth="1"/>
    <col min="14599" max="14850" width="9.1796875" style="504"/>
    <col min="14851" max="14851" width="13.81640625" style="504" customWidth="1"/>
    <col min="14852" max="14852" width="80.1796875" style="504" customWidth="1"/>
    <col min="14853" max="14854" width="12.1796875" style="504" customWidth="1"/>
    <col min="14855" max="15106" width="9.1796875" style="504"/>
    <col min="15107" max="15107" width="13.81640625" style="504" customWidth="1"/>
    <col min="15108" max="15108" width="80.1796875" style="504" customWidth="1"/>
    <col min="15109" max="15110" width="12.1796875" style="504" customWidth="1"/>
    <col min="15111" max="15362" width="9.1796875" style="504"/>
    <col min="15363" max="15363" width="13.81640625" style="504" customWidth="1"/>
    <col min="15364" max="15364" width="80.1796875" style="504" customWidth="1"/>
    <col min="15365" max="15366" width="12.1796875" style="504" customWidth="1"/>
    <col min="15367" max="15618" width="9.1796875" style="504"/>
    <col min="15619" max="15619" width="13.81640625" style="504" customWidth="1"/>
    <col min="15620" max="15620" width="80.1796875" style="504" customWidth="1"/>
    <col min="15621" max="15622" width="12.1796875" style="504" customWidth="1"/>
    <col min="15623" max="15874" width="9.1796875" style="504"/>
    <col min="15875" max="15875" width="13.81640625" style="504" customWidth="1"/>
    <col min="15876" max="15876" width="80.1796875" style="504" customWidth="1"/>
    <col min="15877" max="15878" width="12.1796875" style="504" customWidth="1"/>
    <col min="15879" max="16130" width="9.1796875" style="504"/>
    <col min="16131" max="16131" width="13.81640625" style="504" customWidth="1"/>
    <col min="16132" max="16132" width="80.1796875" style="504" customWidth="1"/>
    <col min="16133" max="16134" width="12.1796875" style="504" customWidth="1"/>
    <col min="16135" max="16384" width="9.1796875" style="504"/>
  </cols>
  <sheetData>
    <row r="1" spans="1:55" s="500" customFormat="1" ht="21.65" customHeight="1" thickBot="1" x14ac:dyDescent="0.3">
      <c r="A1" s="512" t="s">
        <v>2137</v>
      </c>
      <c r="B1" s="491"/>
      <c r="C1" s="529"/>
      <c r="D1" s="491"/>
      <c r="E1" s="491"/>
      <c r="F1" s="491"/>
      <c r="G1" s="492"/>
      <c r="H1" s="494"/>
      <c r="I1" s="494"/>
      <c r="J1" s="495"/>
      <c r="K1" s="492"/>
      <c r="L1" s="492"/>
      <c r="M1" s="492"/>
      <c r="N1" s="498"/>
      <c r="O1" s="498"/>
      <c r="P1" s="498"/>
      <c r="Q1" s="498"/>
      <c r="R1" s="498"/>
      <c r="S1" s="498"/>
      <c r="T1" s="498"/>
      <c r="U1" s="498"/>
      <c r="V1" s="498"/>
      <c r="W1" s="498"/>
      <c r="X1" s="498"/>
      <c r="Y1" s="498"/>
      <c r="Z1" s="499"/>
      <c r="AA1" s="499"/>
      <c r="AB1" s="499"/>
      <c r="AC1" s="499"/>
      <c r="AD1" s="499"/>
      <c r="AE1" s="499"/>
      <c r="AF1" s="499"/>
      <c r="AG1" s="499"/>
      <c r="AH1" s="499"/>
      <c r="AI1" s="499"/>
      <c r="AJ1" s="497"/>
      <c r="AK1" s="497"/>
      <c r="AL1" s="499"/>
      <c r="AM1" s="499"/>
      <c r="AN1" s="499"/>
      <c r="AO1" s="499"/>
      <c r="AP1" s="499"/>
      <c r="AQ1" s="498"/>
      <c r="AR1" s="498"/>
      <c r="AS1" s="498"/>
      <c r="AT1" s="491"/>
      <c r="AV1" s="498"/>
      <c r="AW1" s="498"/>
      <c r="AX1" s="498"/>
      <c r="BA1" s="498"/>
      <c r="BB1" s="498"/>
      <c r="BC1" s="498"/>
    </row>
    <row r="2" spans="1:55" s="500" customFormat="1" ht="21.65" hidden="1" customHeight="1" x14ac:dyDescent="0.25">
      <c r="A2" s="491"/>
      <c r="B2" s="491"/>
      <c r="C2" s="529"/>
      <c r="D2" s="491"/>
      <c r="E2" s="491"/>
      <c r="F2" s="491"/>
      <c r="G2" s="492"/>
      <c r="H2" s="494"/>
      <c r="I2" s="494"/>
      <c r="J2" s="495"/>
      <c r="K2" s="492"/>
      <c r="L2" s="492"/>
      <c r="M2" s="492"/>
      <c r="N2" s="498"/>
      <c r="O2" s="498"/>
      <c r="P2" s="498"/>
      <c r="Q2" s="498"/>
      <c r="R2" s="498"/>
      <c r="S2" s="498"/>
      <c r="T2" s="498"/>
      <c r="U2" s="498"/>
      <c r="V2" s="498"/>
      <c r="W2" s="498"/>
      <c r="X2" s="498"/>
      <c r="Y2" s="498"/>
      <c r="Z2" s="499"/>
      <c r="AA2" s="499"/>
      <c r="AB2" s="499"/>
      <c r="AC2" s="499"/>
      <c r="AD2" s="499"/>
      <c r="AE2" s="499"/>
      <c r="AF2" s="499"/>
      <c r="AG2" s="499"/>
      <c r="AH2" s="499"/>
      <c r="AI2" s="499"/>
      <c r="AJ2" s="497"/>
      <c r="AK2" s="497"/>
      <c r="AL2" s="499"/>
      <c r="AM2" s="499"/>
      <c r="AN2" s="499"/>
      <c r="AO2" s="499"/>
      <c r="AP2" s="499"/>
      <c r="AQ2" s="498"/>
      <c r="AR2" s="498"/>
      <c r="AS2" s="498"/>
      <c r="AT2" s="491"/>
      <c r="AV2" s="498"/>
      <c r="AW2" s="498"/>
      <c r="AX2" s="498"/>
      <c r="BA2" s="498"/>
      <c r="BB2" s="498"/>
      <c r="BC2" s="498"/>
    </row>
    <row r="3" spans="1:55" s="500" customFormat="1" ht="21.65" hidden="1" customHeight="1" x14ac:dyDescent="0.25">
      <c r="A3" s="491"/>
      <c r="B3" s="491"/>
      <c r="C3" s="529"/>
      <c r="D3" s="491"/>
      <c r="E3" s="491"/>
      <c r="F3" s="491"/>
      <c r="G3" s="492"/>
      <c r="H3" s="494"/>
      <c r="I3" s="494"/>
      <c r="J3" s="495"/>
      <c r="K3" s="492"/>
      <c r="L3" s="492"/>
      <c r="M3" s="492"/>
      <c r="N3" s="498"/>
      <c r="O3" s="498"/>
      <c r="P3" s="498"/>
      <c r="Q3" s="498"/>
      <c r="R3" s="498"/>
      <c r="S3" s="498"/>
      <c r="T3" s="498"/>
      <c r="U3" s="498"/>
      <c r="V3" s="498"/>
      <c r="W3" s="498"/>
      <c r="X3" s="498"/>
      <c r="Y3" s="498"/>
      <c r="Z3" s="499"/>
      <c r="AA3" s="499"/>
      <c r="AB3" s="499"/>
      <c r="AC3" s="499"/>
      <c r="AD3" s="499"/>
      <c r="AE3" s="499"/>
      <c r="AF3" s="499"/>
      <c r="AG3" s="499"/>
      <c r="AH3" s="499"/>
      <c r="AI3" s="499"/>
      <c r="AJ3" s="497"/>
      <c r="AK3" s="497"/>
      <c r="AL3" s="499"/>
      <c r="AM3" s="499"/>
      <c r="AN3" s="499"/>
      <c r="AO3" s="499"/>
      <c r="AP3" s="499"/>
      <c r="AQ3" s="498"/>
      <c r="AR3" s="498"/>
      <c r="AS3" s="498"/>
      <c r="AT3" s="491"/>
      <c r="AV3" s="498"/>
      <c r="AW3" s="498"/>
      <c r="AX3" s="498"/>
      <c r="BA3" s="498"/>
      <c r="BB3" s="498"/>
      <c r="BC3" s="498"/>
    </row>
    <row r="4" spans="1:55" s="500" customFormat="1" ht="21.65" hidden="1" customHeight="1" x14ac:dyDescent="0.25">
      <c r="A4" s="491"/>
      <c r="B4" s="491"/>
      <c r="C4" s="529"/>
      <c r="D4" s="491"/>
      <c r="E4" s="491"/>
      <c r="F4" s="491"/>
      <c r="G4" s="492"/>
      <c r="H4" s="494"/>
      <c r="I4" s="494"/>
      <c r="J4" s="495"/>
      <c r="K4" s="492"/>
      <c r="L4" s="492"/>
      <c r="M4" s="492"/>
      <c r="N4" s="498"/>
      <c r="O4" s="498"/>
      <c r="P4" s="498"/>
      <c r="Q4" s="498"/>
      <c r="R4" s="498"/>
      <c r="S4" s="498"/>
      <c r="T4" s="498"/>
      <c r="U4" s="498"/>
      <c r="V4" s="498"/>
      <c r="W4" s="498"/>
      <c r="X4" s="498"/>
      <c r="Y4" s="498"/>
      <c r="Z4" s="499"/>
      <c r="AA4" s="499"/>
      <c r="AB4" s="499"/>
      <c r="AC4" s="499"/>
      <c r="AD4" s="499"/>
      <c r="AE4" s="499"/>
      <c r="AF4" s="499"/>
      <c r="AG4" s="499"/>
      <c r="AH4" s="499"/>
      <c r="AI4" s="499"/>
      <c r="AJ4" s="497"/>
      <c r="AK4" s="497"/>
      <c r="AL4" s="499"/>
      <c r="AM4" s="499"/>
      <c r="AN4" s="499"/>
      <c r="AO4" s="499"/>
      <c r="AP4" s="499"/>
      <c r="AQ4" s="498"/>
      <c r="AR4" s="498"/>
      <c r="AS4" s="498"/>
      <c r="AT4" s="491"/>
      <c r="AV4" s="498"/>
      <c r="AW4" s="498"/>
      <c r="AX4" s="498"/>
      <c r="BA4" s="498"/>
      <c r="BB4" s="498"/>
      <c r="BC4" s="498"/>
    </row>
    <row r="5" spans="1:55" s="500" customFormat="1" ht="21.65" hidden="1" customHeight="1" thickBot="1" x14ac:dyDescent="0.3">
      <c r="A5" s="491"/>
      <c r="B5" s="491"/>
      <c r="C5" s="529"/>
      <c r="D5" s="491"/>
      <c r="E5" s="491"/>
      <c r="F5" s="491"/>
      <c r="G5" s="492"/>
      <c r="H5" s="494"/>
      <c r="I5" s="494"/>
      <c r="J5" s="495"/>
      <c r="K5" s="492"/>
      <c r="L5" s="492"/>
      <c r="M5" s="492"/>
      <c r="N5" s="498"/>
      <c r="O5" s="498"/>
      <c r="P5" s="498"/>
      <c r="Q5" s="498"/>
      <c r="R5" s="498"/>
      <c r="S5" s="498"/>
      <c r="T5" s="498"/>
      <c r="U5" s="498"/>
      <c r="V5" s="498"/>
      <c r="W5" s="498"/>
      <c r="X5" s="498"/>
      <c r="Y5" s="498"/>
      <c r="Z5" s="499"/>
      <c r="AA5" s="499"/>
      <c r="AB5" s="499"/>
      <c r="AC5" s="499"/>
      <c r="AD5" s="499"/>
      <c r="AE5" s="499"/>
      <c r="AF5" s="499"/>
      <c r="AG5" s="499"/>
      <c r="AH5" s="499"/>
      <c r="AI5" s="499"/>
      <c r="AJ5" s="497"/>
      <c r="AK5" s="497"/>
      <c r="AL5" s="499"/>
      <c r="AM5" s="499"/>
      <c r="AN5" s="499"/>
      <c r="AO5" s="499"/>
      <c r="AP5" s="499"/>
      <c r="AQ5" s="498"/>
      <c r="AR5" s="498"/>
      <c r="AS5" s="498"/>
      <c r="AT5" s="491"/>
      <c r="AV5" s="498"/>
      <c r="AW5" s="498"/>
      <c r="AX5" s="498"/>
      <c r="BA5" s="498"/>
      <c r="BB5" s="498"/>
      <c r="BC5" s="498"/>
    </row>
    <row r="6" spans="1:55" s="520" customFormat="1" ht="30" customHeight="1" x14ac:dyDescent="0.35">
      <c r="A6" s="521" t="s">
        <v>1825</v>
      </c>
      <c r="B6" s="380" t="s">
        <v>1824</v>
      </c>
      <c r="C6" s="471" t="s">
        <v>1826</v>
      </c>
      <c r="D6" s="521" t="s">
        <v>1802</v>
      </c>
      <c r="E6" s="380" t="s">
        <v>1811</v>
      </c>
      <c r="F6" s="521" t="s">
        <v>1675</v>
      </c>
      <c r="G6" s="519" t="s">
        <v>1827</v>
      </c>
      <c r="H6" s="522" t="s">
        <v>1828</v>
      </c>
      <c r="I6" s="522" t="s">
        <v>1829</v>
      </c>
      <c r="J6" s="523" t="s">
        <v>1850</v>
      </c>
      <c r="K6" s="519" t="s">
        <v>1814</v>
      </c>
      <c r="L6" s="519" t="s">
        <v>1831</v>
      </c>
      <c r="M6" s="519" t="s">
        <v>1830</v>
      </c>
    </row>
  </sheetData>
  <autoFilter ref="A6:M6" xr:uid="{C4F2D4A0-6534-4930-A5BF-FE8A77C2F0E7}"/>
  <phoneticPr fontId="55" type="noConversion"/>
  <dataValidations count="6">
    <dataValidation type="list" allowBlank="1" showInputMessage="1" showErrorMessage="1" sqref="J1:J5 J7:J1048576" xr:uid="{9DB21734-0D34-4FC9-9CF4-F2D62F6EBBD4}">
      <formula1>"SI,NO,N/A"</formula1>
    </dataValidation>
    <dataValidation allowBlank="1" showInputMessage="1" showErrorMessage="1" errorTitle="Contribuyentes" error="Tiene que ingresar el código de Identificación (1-2-3)" sqref="IY6 SU6 ACQ6 AMM6 AWI6 BGE6 BQA6 BZW6 CJS6 CTO6 DDK6 DNG6 DXC6 EGY6 EQU6 FAQ6 FKM6 FUI6 GEE6 GOA6 GXW6 HHS6 HRO6 IBK6 ILG6 IVC6 JEY6 JOU6 JYQ6 KIM6 KSI6 LCE6 LMA6 LVW6 MFS6 MPO6 MZK6 NJG6 NTC6 OCY6 OMU6 OWQ6 PGM6 PQI6 QAE6 QKA6 QTW6 RDS6 RNO6 RXK6 SHG6 SRC6 TAY6 TKU6 TUQ6 UEM6 UOI6 UYE6 VIA6 VRW6 WBS6 WLO6 WVK6 IY65517 SU65517 ACQ65517 AMM65517 AWI65517 BGE65517 BQA65517 BZW65517 CJS65517 CTO65517 DDK65517 DNG65517 DXC65517 EGY65517 EQU65517 FAQ65517 FKM65517 FUI65517 GEE65517 GOA65517 GXW65517 HHS65517 HRO65517 IBK65517 ILG65517 IVC65517 JEY65517 JOU65517 JYQ65517 KIM65517 KSI65517 LCE65517 LMA65517 LVW65517 MFS65517 MPO65517 MZK65517 NJG65517 NTC65517 OCY65517 OMU65517 OWQ65517 PGM65517 PQI65517 QAE65517 QKA65517 QTW65517 RDS65517 RNO65517 RXK65517 SHG65517 SRC65517 TAY65517 TKU65517 TUQ65517 UEM65517 UOI65517 UYE65517 VIA65517 VRW65517 WBS65517 WLO65517 WVK65517 IY131053 SU131053 ACQ131053 AMM131053 AWI131053 BGE131053 BQA131053 BZW131053 CJS131053 CTO131053 DDK131053 DNG131053 DXC131053 EGY131053 EQU131053 FAQ131053 FKM131053 FUI131053 GEE131053 GOA131053 GXW131053 HHS131053 HRO131053 IBK131053 ILG131053 IVC131053 JEY131053 JOU131053 JYQ131053 KIM131053 KSI131053 LCE131053 LMA131053 LVW131053 MFS131053 MPO131053 MZK131053 NJG131053 NTC131053 OCY131053 OMU131053 OWQ131053 PGM131053 PQI131053 QAE131053 QKA131053 QTW131053 RDS131053 RNO131053 RXK131053 SHG131053 SRC131053 TAY131053 TKU131053 TUQ131053 UEM131053 UOI131053 UYE131053 VIA131053 VRW131053 WBS131053 WLO131053 WVK131053 IY196589 SU196589 ACQ196589 AMM196589 AWI196589 BGE196589 BQA196589 BZW196589 CJS196589 CTO196589 DDK196589 DNG196589 DXC196589 EGY196589 EQU196589 FAQ196589 FKM196589 FUI196589 GEE196589 GOA196589 GXW196589 HHS196589 HRO196589 IBK196589 ILG196589 IVC196589 JEY196589 JOU196589 JYQ196589 KIM196589 KSI196589 LCE196589 LMA196589 LVW196589 MFS196589 MPO196589 MZK196589 NJG196589 NTC196589 OCY196589 OMU196589 OWQ196589 PGM196589 PQI196589 QAE196589 QKA196589 QTW196589 RDS196589 RNO196589 RXK196589 SHG196589 SRC196589 TAY196589 TKU196589 TUQ196589 UEM196589 UOI196589 UYE196589 VIA196589 VRW196589 WBS196589 WLO196589 WVK196589 IY262125 SU262125 ACQ262125 AMM262125 AWI262125 BGE262125 BQA262125 BZW262125 CJS262125 CTO262125 DDK262125 DNG262125 DXC262125 EGY262125 EQU262125 FAQ262125 FKM262125 FUI262125 GEE262125 GOA262125 GXW262125 HHS262125 HRO262125 IBK262125 ILG262125 IVC262125 JEY262125 JOU262125 JYQ262125 KIM262125 KSI262125 LCE262125 LMA262125 LVW262125 MFS262125 MPO262125 MZK262125 NJG262125 NTC262125 OCY262125 OMU262125 OWQ262125 PGM262125 PQI262125 QAE262125 QKA262125 QTW262125 RDS262125 RNO262125 RXK262125 SHG262125 SRC262125 TAY262125 TKU262125 TUQ262125 UEM262125 UOI262125 UYE262125 VIA262125 VRW262125 WBS262125 WLO262125 WVK262125 IY327661 SU327661 ACQ327661 AMM327661 AWI327661 BGE327661 BQA327661 BZW327661 CJS327661 CTO327661 DDK327661 DNG327661 DXC327661 EGY327661 EQU327661 FAQ327661 FKM327661 FUI327661 GEE327661 GOA327661 GXW327661 HHS327661 HRO327661 IBK327661 ILG327661 IVC327661 JEY327661 JOU327661 JYQ327661 KIM327661 KSI327661 LCE327661 LMA327661 LVW327661 MFS327661 MPO327661 MZK327661 NJG327661 NTC327661 OCY327661 OMU327661 OWQ327661 PGM327661 PQI327661 QAE327661 QKA327661 QTW327661 RDS327661 RNO327661 RXK327661 SHG327661 SRC327661 TAY327661 TKU327661 TUQ327661 UEM327661 UOI327661 UYE327661 VIA327661 VRW327661 WBS327661 WLO327661 WVK327661 IY393197 SU393197 ACQ393197 AMM393197 AWI393197 BGE393197 BQA393197 BZW393197 CJS393197 CTO393197 DDK393197 DNG393197 DXC393197 EGY393197 EQU393197 FAQ393197 FKM393197 FUI393197 GEE393197 GOA393197 GXW393197 HHS393197 HRO393197 IBK393197 ILG393197 IVC393197 JEY393197 JOU393197 JYQ393197 KIM393197 KSI393197 LCE393197 LMA393197 LVW393197 MFS393197 MPO393197 MZK393197 NJG393197 NTC393197 OCY393197 OMU393197 OWQ393197 PGM393197 PQI393197 QAE393197 QKA393197 QTW393197 RDS393197 RNO393197 RXK393197 SHG393197 SRC393197 TAY393197 TKU393197 TUQ393197 UEM393197 UOI393197 UYE393197 VIA393197 VRW393197 WBS393197 WLO393197 WVK393197 IY458733 SU458733 ACQ458733 AMM458733 AWI458733 BGE458733 BQA458733 BZW458733 CJS458733 CTO458733 DDK458733 DNG458733 DXC458733 EGY458733 EQU458733 FAQ458733 FKM458733 FUI458733 GEE458733 GOA458733 GXW458733 HHS458733 HRO458733 IBK458733 ILG458733 IVC458733 JEY458733 JOU458733 JYQ458733 KIM458733 KSI458733 LCE458733 LMA458733 LVW458733 MFS458733 MPO458733 MZK458733 NJG458733 NTC458733 OCY458733 OMU458733 OWQ458733 PGM458733 PQI458733 QAE458733 QKA458733 QTW458733 RDS458733 RNO458733 RXK458733 SHG458733 SRC458733 TAY458733 TKU458733 TUQ458733 UEM458733 UOI458733 UYE458733 VIA458733 VRW458733 WBS458733 WLO458733 WVK458733 IY524269 SU524269 ACQ524269 AMM524269 AWI524269 BGE524269 BQA524269 BZW524269 CJS524269 CTO524269 DDK524269 DNG524269 DXC524269 EGY524269 EQU524269 FAQ524269 FKM524269 FUI524269 GEE524269 GOA524269 GXW524269 HHS524269 HRO524269 IBK524269 ILG524269 IVC524269 JEY524269 JOU524269 JYQ524269 KIM524269 KSI524269 LCE524269 LMA524269 LVW524269 MFS524269 MPO524269 MZK524269 NJG524269 NTC524269 OCY524269 OMU524269 OWQ524269 PGM524269 PQI524269 QAE524269 QKA524269 QTW524269 RDS524269 RNO524269 RXK524269 SHG524269 SRC524269 TAY524269 TKU524269 TUQ524269 UEM524269 UOI524269 UYE524269 VIA524269 VRW524269 WBS524269 WLO524269 WVK524269 IY589805 SU589805 ACQ589805 AMM589805 AWI589805 BGE589805 BQA589805 BZW589805 CJS589805 CTO589805 DDK589805 DNG589805 DXC589805 EGY589805 EQU589805 FAQ589805 FKM589805 FUI589805 GEE589805 GOA589805 GXW589805 HHS589805 HRO589805 IBK589805 ILG589805 IVC589805 JEY589805 JOU589805 JYQ589805 KIM589805 KSI589805 LCE589805 LMA589805 LVW589805 MFS589805 MPO589805 MZK589805 NJG589805 NTC589805 OCY589805 OMU589805 OWQ589805 PGM589805 PQI589805 QAE589805 QKA589805 QTW589805 RDS589805 RNO589805 RXK589805 SHG589805 SRC589805 TAY589805 TKU589805 TUQ589805 UEM589805 UOI589805 UYE589805 VIA589805 VRW589805 WBS589805 WLO589805 WVK589805 IY655341 SU655341 ACQ655341 AMM655341 AWI655341 BGE655341 BQA655341 BZW655341 CJS655341 CTO655341 DDK655341 DNG655341 DXC655341 EGY655341 EQU655341 FAQ655341 FKM655341 FUI655341 GEE655341 GOA655341 GXW655341 HHS655341 HRO655341 IBK655341 ILG655341 IVC655341 JEY655341 JOU655341 JYQ655341 KIM655341 KSI655341 LCE655341 LMA655341 LVW655341 MFS655341 MPO655341 MZK655341 NJG655341 NTC655341 OCY655341 OMU655341 OWQ655341 PGM655341 PQI655341 QAE655341 QKA655341 QTW655341 RDS655341 RNO655341 RXK655341 SHG655341 SRC655341 TAY655341 TKU655341 TUQ655341 UEM655341 UOI655341 UYE655341 VIA655341 VRW655341 WBS655341 WLO655341 WVK655341 IY720877 SU720877 ACQ720877 AMM720877 AWI720877 BGE720877 BQA720877 BZW720877 CJS720877 CTO720877 DDK720877 DNG720877 DXC720877 EGY720877 EQU720877 FAQ720877 FKM720877 FUI720877 GEE720877 GOA720877 GXW720877 HHS720877 HRO720877 IBK720877 ILG720877 IVC720877 JEY720877 JOU720877 JYQ720877 KIM720877 KSI720877 LCE720877 LMA720877 LVW720877 MFS720877 MPO720877 MZK720877 NJG720877 NTC720877 OCY720877 OMU720877 OWQ720877 PGM720877 PQI720877 QAE720877 QKA720877 QTW720877 RDS720877 RNO720877 RXK720877 SHG720877 SRC720877 TAY720877 TKU720877 TUQ720877 UEM720877 UOI720877 UYE720877 VIA720877 VRW720877 WBS720877 WLO720877 WVK720877 IY786413 SU786413 ACQ786413 AMM786413 AWI786413 BGE786413 BQA786413 BZW786413 CJS786413 CTO786413 DDK786413 DNG786413 DXC786413 EGY786413 EQU786413 FAQ786413 FKM786413 FUI786413 GEE786413 GOA786413 GXW786413 HHS786413 HRO786413 IBK786413 ILG786413 IVC786413 JEY786413 JOU786413 JYQ786413 KIM786413 KSI786413 LCE786413 LMA786413 LVW786413 MFS786413 MPO786413 MZK786413 NJG786413 NTC786413 OCY786413 OMU786413 OWQ786413 PGM786413 PQI786413 QAE786413 QKA786413 QTW786413 RDS786413 RNO786413 RXK786413 SHG786413 SRC786413 TAY786413 TKU786413 TUQ786413 UEM786413 UOI786413 UYE786413 VIA786413 VRW786413 WBS786413 WLO786413 WVK786413 IY851949 SU851949 ACQ851949 AMM851949 AWI851949 BGE851949 BQA851949 BZW851949 CJS851949 CTO851949 DDK851949 DNG851949 DXC851949 EGY851949 EQU851949 FAQ851949 FKM851949 FUI851949 GEE851949 GOA851949 GXW851949 HHS851949 HRO851949 IBK851949 ILG851949 IVC851949 JEY851949 JOU851949 JYQ851949 KIM851949 KSI851949 LCE851949 LMA851949 LVW851949 MFS851949 MPO851949 MZK851949 NJG851949 NTC851949 OCY851949 OMU851949 OWQ851949 PGM851949 PQI851949 QAE851949 QKA851949 QTW851949 RDS851949 RNO851949 RXK851949 SHG851949 SRC851949 TAY851949 TKU851949 TUQ851949 UEM851949 UOI851949 UYE851949 VIA851949 VRW851949 WBS851949 WLO851949 WVK851949 IY917485 SU917485 ACQ917485 AMM917485 AWI917485 BGE917485 BQA917485 BZW917485 CJS917485 CTO917485 DDK917485 DNG917485 DXC917485 EGY917485 EQU917485 FAQ917485 FKM917485 FUI917485 GEE917485 GOA917485 GXW917485 HHS917485 HRO917485 IBK917485 ILG917485 IVC917485 JEY917485 JOU917485 JYQ917485 KIM917485 KSI917485 LCE917485 LMA917485 LVW917485 MFS917485 MPO917485 MZK917485 NJG917485 NTC917485 OCY917485 OMU917485 OWQ917485 PGM917485 PQI917485 QAE917485 QKA917485 QTW917485 RDS917485 RNO917485 RXK917485 SHG917485 SRC917485 TAY917485 TKU917485 TUQ917485 UEM917485 UOI917485 UYE917485 VIA917485 VRW917485 WBS917485 WLO917485 WVK917485 WVK983021 IY983021 SU983021 ACQ983021 AMM983021 AWI983021 BGE983021 BQA983021 BZW983021 CJS983021 CTO983021 DDK983021 DNG983021 DXC983021 EGY983021 EQU983021 FAQ983021 FKM983021 FUI983021 GEE983021 GOA983021 GXW983021 HHS983021 HRO983021 IBK983021 ILG983021 IVC983021 JEY983021 JOU983021 JYQ983021 KIM983021 KSI983021 LCE983021 LMA983021 LVW983021 MFS983021 MPO983021 MZK983021 NJG983021 NTC983021 OCY983021 OMU983021 OWQ983021 PGM983021 PQI983021 QAE983021 QKA983021 QTW983021 RDS983021 RNO983021 RXK983021 SHG983021 SRC983021 TAY983021 TKU983021 TUQ983021 UEM983021 UOI983021 UYE983021 VIA983021 VRW983021 WBS983021 WLO983021 D6 F6 A6 A131053:F131053 A196589:F196589 A262125:F262125 A327661:F327661 A393197:F393197 A458733:F458733 A524269:F524269 A589805:F589805 A655341:F655341 A720877:F720877 A786413:F786413 A851949:F851949 A917485:F917485 A983021:F983021 A65517:F65517" xr:uid="{7EE1AF09-D47A-4B7F-A08B-C69EB48729D1}"/>
    <dataValidation type="textLength" operator="lessThanOrEqual" allowBlank="1" showInputMessage="1" showErrorMessage="1" errorTitle="FactelExcel" error="Debe ingresar un valor correcto para la Descripcion de Productos" sqref="IZ65518:IZ131051 SV65518:SV131051 ACR65518:ACR131051 AMN65518:AMN131051 AWJ65518:AWJ131051 BGF65518:BGF131051 BQB65518:BQB131051 BZX65518:BZX131051 CJT65518:CJT131051 CTP65518:CTP131051 DDL65518:DDL131051 DNH65518:DNH131051 DXD65518:DXD131051 EGZ65518:EGZ131051 EQV65518:EQV131051 FAR65518:FAR131051 FKN65518:FKN131051 FUJ65518:FUJ131051 GEF65518:GEF131051 GOB65518:GOB131051 GXX65518:GXX131051 HHT65518:HHT131051 HRP65518:HRP131051 IBL65518:IBL131051 ILH65518:ILH131051 IVD65518:IVD131051 JEZ65518:JEZ131051 JOV65518:JOV131051 JYR65518:JYR131051 KIN65518:KIN131051 KSJ65518:KSJ131051 LCF65518:LCF131051 LMB65518:LMB131051 LVX65518:LVX131051 MFT65518:MFT131051 MPP65518:MPP131051 MZL65518:MZL131051 NJH65518:NJH131051 NTD65518:NTD131051 OCZ65518:OCZ131051 OMV65518:OMV131051 OWR65518:OWR131051 PGN65518:PGN131051 PQJ65518:PQJ131051 QAF65518:QAF131051 QKB65518:QKB131051 QTX65518:QTX131051 RDT65518:RDT131051 RNP65518:RNP131051 RXL65518:RXL131051 SHH65518:SHH131051 SRD65518:SRD131051 TAZ65518:TAZ131051 TKV65518:TKV131051 TUR65518:TUR131051 UEN65518:UEN131051 UOJ65518:UOJ131051 UYF65518:UYF131051 VIB65518:VIB131051 VRX65518:VRX131051 WBT65518:WBT131051 WLP65518:WLP131051 WVL65518:WVL131051 IZ131054:IZ196587 SV131054:SV196587 ACR131054:ACR196587 AMN131054:AMN196587 AWJ131054:AWJ196587 BGF131054:BGF196587 BQB131054:BQB196587 BZX131054:BZX196587 CJT131054:CJT196587 CTP131054:CTP196587 DDL131054:DDL196587 DNH131054:DNH196587 DXD131054:DXD196587 EGZ131054:EGZ196587 EQV131054:EQV196587 FAR131054:FAR196587 FKN131054:FKN196587 FUJ131054:FUJ196587 GEF131054:GEF196587 GOB131054:GOB196587 GXX131054:GXX196587 HHT131054:HHT196587 HRP131054:HRP196587 IBL131054:IBL196587 ILH131054:ILH196587 IVD131054:IVD196587 JEZ131054:JEZ196587 JOV131054:JOV196587 JYR131054:JYR196587 KIN131054:KIN196587 KSJ131054:KSJ196587 LCF131054:LCF196587 LMB131054:LMB196587 LVX131054:LVX196587 MFT131054:MFT196587 MPP131054:MPP196587 MZL131054:MZL196587 NJH131054:NJH196587 NTD131054:NTD196587 OCZ131054:OCZ196587 OMV131054:OMV196587 OWR131054:OWR196587 PGN131054:PGN196587 PQJ131054:PQJ196587 QAF131054:QAF196587 QKB131054:QKB196587 QTX131054:QTX196587 RDT131054:RDT196587 RNP131054:RNP196587 RXL131054:RXL196587 SHH131054:SHH196587 SRD131054:SRD196587 TAZ131054:TAZ196587 TKV131054:TKV196587 TUR131054:TUR196587 UEN131054:UEN196587 UOJ131054:UOJ196587 UYF131054:UYF196587 VIB131054:VIB196587 VRX131054:VRX196587 WBT131054:WBT196587 WLP131054:WLP196587 WVL131054:WVL196587 IZ196590:IZ262123 SV196590:SV262123 ACR196590:ACR262123 AMN196590:AMN262123 AWJ196590:AWJ262123 BGF196590:BGF262123 BQB196590:BQB262123 BZX196590:BZX262123 CJT196590:CJT262123 CTP196590:CTP262123 DDL196590:DDL262123 DNH196590:DNH262123 DXD196590:DXD262123 EGZ196590:EGZ262123 EQV196590:EQV262123 FAR196590:FAR262123 FKN196590:FKN262123 FUJ196590:FUJ262123 GEF196590:GEF262123 GOB196590:GOB262123 GXX196590:GXX262123 HHT196590:HHT262123 HRP196590:HRP262123 IBL196590:IBL262123 ILH196590:ILH262123 IVD196590:IVD262123 JEZ196590:JEZ262123 JOV196590:JOV262123 JYR196590:JYR262123 KIN196590:KIN262123 KSJ196590:KSJ262123 LCF196590:LCF262123 LMB196590:LMB262123 LVX196590:LVX262123 MFT196590:MFT262123 MPP196590:MPP262123 MZL196590:MZL262123 NJH196590:NJH262123 NTD196590:NTD262123 OCZ196590:OCZ262123 OMV196590:OMV262123 OWR196590:OWR262123 PGN196590:PGN262123 PQJ196590:PQJ262123 QAF196590:QAF262123 QKB196590:QKB262123 QTX196590:QTX262123 RDT196590:RDT262123 RNP196590:RNP262123 RXL196590:RXL262123 SHH196590:SHH262123 SRD196590:SRD262123 TAZ196590:TAZ262123 TKV196590:TKV262123 TUR196590:TUR262123 UEN196590:UEN262123 UOJ196590:UOJ262123 UYF196590:UYF262123 VIB196590:VIB262123 VRX196590:VRX262123 WBT196590:WBT262123 WLP196590:WLP262123 WVL196590:WVL262123 IZ262126:IZ327659 SV262126:SV327659 ACR262126:ACR327659 AMN262126:AMN327659 AWJ262126:AWJ327659 BGF262126:BGF327659 BQB262126:BQB327659 BZX262126:BZX327659 CJT262126:CJT327659 CTP262126:CTP327659 DDL262126:DDL327659 DNH262126:DNH327659 DXD262126:DXD327659 EGZ262126:EGZ327659 EQV262126:EQV327659 FAR262126:FAR327659 FKN262126:FKN327659 FUJ262126:FUJ327659 GEF262126:GEF327659 GOB262126:GOB327659 GXX262126:GXX327659 HHT262126:HHT327659 HRP262126:HRP327659 IBL262126:IBL327659 ILH262126:ILH327659 IVD262126:IVD327659 JEZ262126:JEZ327659 JOV262126:JOV327659 JYR262126:JYR327659 KIN262126:KIN327659 KSJ262126:KSJ327659 LCF262126:LCF327659 LMB262126:LMB327659 LVX262126:LVX327659 MFT262126:MFT327659 MPP262126:MPP327659 MZL262126:MZL327659 NJH262126:NJH327659 NTD262126:NTD327659 OCZ262126:OCZ327659 OMV262126:OMV327659 OWR262126:OWR327659 PGN262126:PGN327659 PQJ262126:PQJ327659 QAF262126:QAF327659 QKB262126:QKB327659 QTX262126:QTX327659 RDT262126:RDT327659 RNP262126:RNP327659 RXL262126:RXL327659 SHH262126:SHH327659 SRD262126:SRD327659 TAZ262126:TAZ327659 TKV262126:TKV327659 TUR262126:TUR327659 UEN262126:UEN327659 UOJ262126:UOJ327659 UYF262126:UYF327659 VIB262126:VIB327659 VRX262126:VRX327659 WBT262126:WBT327659 WLP262126:WLP327659 WVL262126:WVL327659 IZ327662:IZ393195 SV327662:SV393195 ACR327662:ACR393195 AMN327662:AMN393195 AWJ327662:AWJ393195 BGF327662:BGF393195 BQB327662:BQB393195 BZX327662:BZX393195 CJT327662:CJT393195 CTP327662:CTP393195 DDL327662:DDL393195 DNH327662:DNH393195 DXD327662:DXD393195 EGZ327662:EGZ393195 EQV327662:EQV393195 FAR327662:FAR393195 FKN327662:FKN393195 FUJ327662:FUJ393195 GEF327662:GEF393195 GOB327662:GOB393195 GXX327662:GXX393195 HHT327662:HHT393195 HRP327662:HRP393195 IBL327662:IBL393195 ILH327662:ILH393195 IVD327662:IVD393195 JEZ327662:JEZ393195 JOV327662:JOV393195 JYR327662:JYR393195 KIN327662:KIN393195 KSJ327662:KSJ393195 LCF327662:LCF393195 LMB327662:LMB393195 LVX327662:LVX393195 MFT327662:MFT393195 MPP327662:MPP393195 MZL327662:MZL393195 NJH327662:NJH393195 NTD327662:NTD393195 OCZ327662:OCZ393195 OMV327662:OMV393195 OWR327662:OWR393195 PGN327662:PGN393195 PQJ327662:PQJ393195 QAF327662:QAF393195 QKB327662:QKB393195 QTX327662:QTX393195 RDT327662:RDT393195 RNP327662:RNP393195 RXL327662:RXL393195 SHH327662:SHH393195 SRD327662:SRD393195 TAZ327662:TAZ393195 TKV327662:TKV393195 TUR327662:TUR393195 UEN327662:UEN393195 UOJ327662:UOJ393195 UYF327662:UYF393195 VIB327662:VIB393195 VRX327662:VRX393195 WBT327662:WBT393195 WLP327662:WLP393195 WVL327662:WVL393195 IZ393198:IZ458731 SV393198:SV458731 ACR393198:ACR458731 AMN393198:AMN458731 AWJ393198:AWJ458731 BGF393198:BGF458731 BQB393198:BQB458731 BZX393198:BZX458731 CJT393198:CJT458731 CTP393198:CTP458731 DDL393198:DDL458731 DNH393198:DNH458731 DXD393198:DXD458731 EGZ393198:EGZ458731 EQV393198:EQV458731 FAR393198:FAR458731 FKN393198:FKN458731 FUJ393198:FUJ458731 GEF393198:GEF458731 GOB393198:GOB458731 GXX393198:GXX458731 HHT393198:HHT458731 HRP393198:HRP458731 IBL393198:IBL458731 ILH393198:ILH458731 IVD393198:IVD458731 JEZ393198:JEZ458731 JOV393198:JOV458731 JYR393198:JYR458731 KIN393198:KIN458731 KSJ393198:KSJ458731 LCF393198:LCF458731 LMB393198:LMB458731 LVX393198:LVX458731 MFT393198:MFT458731 MPP393198:MPP458731 MZL393198:MZL458731 NJH393198:NJH458731 NTD393198:NTD458731 OCZ393198:OCZ458731 OMV393198:OMV458731 OWR393198:OWR458731 PGN393198:PGN458731 PQJ393198:PQJ458731 QAF393198:QAF458731 QKB393198:QKB458731 QTX393198:QTX458731 RDT393198:RDT458731 RNP393198:RNP458731 RXL393198:RXL458731 SHH393198:SHH458731 SRD393198:SRD458731 TAZ393198:TAZ458731 TKV393198:TKV458731 TUR393198:TUR458731 UEN393198:UEN458731 UOJ393198:UOJ458731 UYF393198:UYF458731 VIB393198:VIB458731 VRX393198:VRX458731 WBT393198:WBT458731 WLP393198:WLP458731 WVL393198:WVL458731 IZ458734:IZ524267 SV458734:SV524267 ACR458734:ACR524267 AMN458734:AMN524267 AWJ458734:AWJ524267 BGF458734:BGF524267 BQB458734:BQB524267 BZX458734:BZX524267 CJT458734:CJT524267 CTP458734:CTP524267 DDL458734:DDL524267 DNH458734:DNH524267 DXD458734:DXD524267 EGZ458734:EGZ524267 EQV458734:EQV524267 FAR458734:FAR524267 FKN458734:FKN524267 FUJ458734:FUJ524267 GEF458734:GEF524267 GOB458734:GOB524267 GXX458734:GXX524267 HHT458734:HHT524267 HRP458734:HRP524267 IBL458734:IBL524267 ILH458734:ILH524267 IVD458734:IVD524267 JEZ458734:JEZ524267 JOV458734:JOV524267 JYR458734:JYR524267 KIN458734:KIN524267 KSJ458734:KSJ524267 LCF458734:LCF524267 LMB458734:LMB524267 LVX458734:LVX524267 MFT458734:MFT524267 MPP458734:MPP524267 MZL458734:MZL524267 NJH458734:NJH524267 NTD458734:NTD524267 OCZ458734:OCZ524267 OMV458734:OMV524267 OWR458734:OWR524267 PGN458734:PGN524267 PQJ458734:PQJ524267 QAF458734:QAF524267 QKB458734:QKB524267 QTX458734:QTX524267 RDT458734:RDT524267 RNP458734:RNP524267 RXL458734:RXL524267 SHH458734:SHH524267 SRD458734:SRD524267 TAZ458734:TAZ524267 TKV458734:TKV524267 TUR458734:TUR524267 UEN458734:UEN524267 UOJ458734:UOJ524267 UYF458734:UYF524267 VIB458734:VIB524267 VRX458734:VRX524267 WBT458734:WBT524267 WLP458734:WLP524267 WVL458734:WVL524267 IZ524270:IZ589803 SV524270:SV589803 ACR524270:ACR589803 AMN524270:AMN589803 AWJ524270:AWJ589803 BGF524270:BGF589803 BQB524270:BQB589803 BZX524270:BZX589803 CJT524270:CJT589803 CTP524270:CTP589803 DDL524270:DDL589803 DNH524270:DNH589803 DXD524270:DXD589803 EGZ524270:EGZ589803 EQV524270:EQV589803 FAR524270:FAR589803 FKN524270:FKN589803 FUJ524270:FUJ589803 GEF524270:GEF589803 GOB524270:GOB589803 GXX524270:GXX589803 HHT524270:HHT589803 HRP524270:HRP589803 IBL524270:IBL589803 ILH524270:ILH589803 IVD524270:IVD589803 JEZ524270:JEZ589803 JOV524270:JOV589803 JYR524270:JYR589803 KIN524270:KIN589803 KSJ524270:KSJ589803 LCF524270:LCF589803 LMB524270:LMB589803 LVX524270:LVX589803 MFT524270:MFT589803 MPP524270:MPP589803 MZL524270:MZL589803 NJH524270:NJH589803 NTD524270:NTD589803 OCZ524270:OCZ589803 OMV524270:OMV589803 OWR524270:OWR589803 PGN524270:PGN589803 PQJ524270:PQJ589803 QAF524270:QAF589803 QKB524270:QKB589803 QTX524270:QTX589803 RDT524270:RDT589803 RNP524270:RNP589803 RXL524270:RXL589803 SHH524270:SHH589803 SRD524270:SRD589803 TAZ524270:TAZ589803 TKV524270:TKV589803 TUR524270:TUR589803 UEN524270:UEN589803 UOJ524270:UOJ589803 UYF524270:UYF589803 VIB524270:VIB589803 VRX524270:VRX589803 WBT524270:WBT589803 WLP524270:WLP589803 WVL524270:WVL589803 IZ589806:IZ655339 SV589806:SV655339 ACR589806:ACR655339 AMN589806:AMN655339 AWJ589806:AWJ655339 BGF589806:BGF655339 BQB589806:BQB655339 BZX589806:BZX655339 CJT589806:CJT655339 CTP589806:CTP655339 DDL589806:DDL655339 DNH589806:DNH655339 DXD589806:DXD655339 EGZ589806:EGZ655339 EQV589806:EQV655339 FAR589806:FAR655339 FKN589806:FKN655339 FUJ589806:FUJ655339 GEF589806:GEF655339 GOB589806:GOB655339 GXX589806:GXX655339 HHT589806:HHT655339 HRP589806:HRP655339 IBL589806:IBL655339 ILH589806:ILH655339 IVD589806:IVD655339 JEZ589806:JEZ655339 JOV589806:JOV655339 JYR589806:JYR655339 KIN589806:KIN655339 KSJ589806:KSJ655339 LCF589806:LCF655339 LMB589806:LMB655339 LVX589806:LVX655339 MFT589806:MFT655339 MPP589806:MPP655339 MZL589806:MZL655339 NJH589806:NJH655339 NTD589806:NTD655339 OCZ589806:OCZ655339 OMV589806:OMV655339 OWR589806:OWR655339 PGN589806:PGN655339 PQJ589806:PQJ655339 QAF589806:QAF655339 QKB589806:QKB655339 QTX589806:QTX655339 RDT589806:RDT655339 RNP589806:RNP655339 RXL589806:RXL655339 SHH589806:SHH655339 SRD589806:SRD655339 TAZ589806:TAZ655339 TKV589806:TKV655339 TUR589806:TUR655339 UEN589806:UEN655339 UOJ589806:UOJ655339 UYF589806:UYF655339 VIB589806:VIB655339 VRX589806:VRX655339 WBT589806:WBT655339 WLP589806:WLP655339 WVL589806:WVL655339 IZ655342:IZ720875 SV655342:SV720875 ACR655342:ACR720875 AMN655342:AMN720875 AWJ655342:AWJ720875 BGF655342:BGF720875 BQB655342:BQB720875 BZX655342:BZX720875 CJT655342:CJT720875 CTP655342:CTP720875 DDL655342:DDL720875 DNH655342:DNH720875 DXD655342:DXD720875 EGZ655342:EGZ720875 EQV655342:EQV720875 FAR655342:FAR720875 FKN655342:FKN720875 FUJ655342:FUJ720875 GEF655342:GEF720875 GOB655342:GOB720875 GXX655342:GXX720875 HHT655342:HHT720875 HRP655342:HRP720875 IBL655342:IBL720875 ILH655342:ILH720875 IVD655342:IVD720875 JEZ655342:JEZ720875 JOV655342:JOV720875 JYR655342:JYR720875 KIN655342:KIN720875 KSJ655342:KSJ720875 LCF655342:LCF720875 LMB655342:LMB720875 LVX655342:LVX720875 MFT655342:MFT720875 MPP655342:MPP720875 MZL655342:MZL720875 NJH655342:NJH720875 NTD655342:NTD720875 OCZ655342:OCZ720875 OMV655342:OMV720875 OWR655342:OWR720875 PGN655342:PGN720875 PQJ655342:PQJ720875 QAF655342:QAF720875 QKB655342:QKB720875 QTX655342:QTX720875 RDT655342:RDT720875 RNP655342:RNP720875 RXL655342:RXL720875 SHH655342:SHH720875 SRD655342:SRD720875 TAZ655342:TAZ720875 TKV655342:TKV720875 TUR655342:TUR720875 UEN655342:UEN720875 UOJ655342:UOJ720875 UYF655342:UYF720875 VIB655342:VIB720875 VRX655342:VRX720875 WBT655342:WBT720875 WLP655342:WLP720875 WVL655342:WVL720875 IZ720878:IZ786411 SV720878:SV786411 ACR720878:ACR786411 AMN720878:AMN786411 AWJ720878:AWJ786411 BGF720878:BGF786411 BQB720878:BQB786411 BZX720878:BZX786411 CJT720878:CJT786411 CTP720878:CTP786411 DDL720878:DDL786411 DNH720878:DNH786411 DXD720878:DXD786411 EGZ720878:EGZ786411 EQV720878:EQV786411 FAR720878:FAR786411 FKN720878:FKN786411 FUJ720878:FUJ786411 GEF720878:GEF786411 GOB720878:GOB786411 GXX720878:GXX786411 HHT720878:HHT786411 HRP720878:HRP786411 IBL720878:IBL786411 ILH720878:ILH786411 IVD720878:IVD786411 JEZ720878:JEZ786411 JOV720878:JOV786411 JYR720878:JYR786411 KIN720878:KIN786411 KSJ720878:KSJ786411 LCF720878:LCF786411 LMB720878:LMB786411 LVX720878:LVX786411 MFT720878:MFT786411 MPP720878:MPP786411 MZL720878:MZL786411 NJH720878:NJH786411 NTD720878:NTD786411 OCZ720878:OCZ786411 OMV720878:OMV786411 OWR720878:OWR786411 PGN720878:PGN786411 PQJ720878:PQJ786411 QAF720878:QAF786411 QKB720878:QKB786411 QTX720878:QTX786411 RDT720878:RDT786411 RNP720878:RNP786411 RXL720878:RXL786411 SHH720878:SHH786411 SRD720878:SRD786411 TAZ720878:TAZ786411 TKV720878:TKV786411 TUR720878:TUR786411 UEN720878:UEN786411 UOJ720878:UOJ786411 UYF720878:UYF786411 VIB720878:VIB786411 VRX720878:VRX786411 WBT720878:WBT786411 WLP720878:WLP786411 WVL720878:WVL786411 IZ786414:IZ851947 SV786414:SV851947 ACR786414:ACR851947 AMN786414:AMN851947 AWJ786414:AWJ851947 BGF786414:BGF851947 BQB786414:BQB851947 BZX786414:BZX851947 CJT786414:CJT851947 CTP786414:CTP851947 DDL786414:DDL851947 DNH786414:DNH851947 DXD786414:DXD851947 EGZ786414:EGZ851947 EQV786414:EQV851947 FAR786414:FAR851947 FKN786414:FKN851947 FUJ786414:FUJ851947 GEF786414:GEF851947 GOB786414:GOB851947 GXX786414:GXX851947 HHT786414:HHT851947 HRP786414:HRP851947 IBL786414:IBL851947 ILH786414:ILH851947 IVD786414:IVD851947 JEZ786414:JEZ851947 JOV786414:JOV851947 JYR786414:JYR851947 KIN786414:KIN851947 KSJ786414:KSJ851947 LCF786414:LCF851947 LMB786414:LMB851947 LVX786414:LVX851947 MFT786414:MFT851947 MPP786414:MPP851947 MZL786414:MZL851947 NJH786414:NJH851947 NTD786414:NTD851947 OCZ786414:OCZ851947 OMV786414:OMV851947 OWR786414:OWR851947 PGN786414:PGN851947 PQJ786414:PQJ851947 QAF786414:QAF851947 QKB786414:QKB851947 QTX786414:QTX851947 RDT786414:RDT851947 RNP786414:RNP851947 RXL786414:RXL851947 SHH786414:SHH851947 SRD786414:SRD851947 TAZ786414:TAZ851947 TKV786414:TKV851947 TUR786414:TUR851947 UEN786414:UEN851947 UOJ786414:UOJ851947 UYF786414:UYF851947 VIB786414:VIB851947 VRX786414:VRX851947 WBT786414:WBT851947 WLP786414:WLP851947 WVL786414:WVL851947 IZ851950:IZ917483 SV851950:SV917483 ACR851950:ACR917483 AMN851950:AMN917483 AWJ851950:AWJ917483 BGF851950:BGF917483 BQB851950:BQB917483 BZX851950:BZX917483 CJT851950:CJT917483 CTP851950:CTP917483 DDL851950:DDL917483 DNH851950:DNH917483 DXD851950:DXD917483 EGZ851950:EGZ917483 EQV851950:EQV917483 FAR851950:FAR917483 FKN851950:FKN917483 FUJ851950:FUJ917483 GEF851950:GEF917483 GOB851950:GOB917483 GXX851950:GXX917483 HHT851950:HHT917483 HRP851950:HRP917483 IBL851950:IBL917483 ILH851950:ILH917483 IVD851950:IVD917483 JEZ851950:JEZ917483 JOV851950:JOV917483 JYR851950:JYR917483 KIN851950:KIN917483 KSJ851950:KSJ917483 LCF851950:LCF917483 LMB851950:LMB917483 LVX851950:LVX917483 MFT851950:MFT917483 MPP851950:MPP917483 MZL851950:MZL917483 NJH851950:NJH917483 NTD851950:NTD917483 OCZ851950:OCZ917483 OMV851950:OMV917483 OWR851950:OWR917483 PGN851950:PGN917483 PQJ851950:PQJ917483 QAF851950:QAF917483 QKB851950:QKB917483 QTX851950:QTX917483 RDT851950:RDT917483 RNP851950:RNP917483 RXL851950:RXL917483 SHH851950:SHH917483 SRD851950:SRD917483 TAZ851950:TAZ917483 TKV851950:TKV917483 TUR851950:TUR917483 UEN851950:UEN917483 UOJ851950:UOJ917483 UYF851950:UYF917483 VIB851950:VIB917483 VRX851950:VRX917483 WBT851950:WBT917483 WLP851950:WLP917483 WVL851950:WVL917483 IZ917486:IZ983019 SV917486:SV983019 ACR917486:ACR983019 AMN917486:AMN983019 AWJ917486:AWJ983019 BGF917486:BGF983019 BQB917486:BQB983019 BZX917486:BZX983019 CJT917486:CJT983019 CTP917486:CTP983019 DDL917486:DDL983019 DNH917486:DNH983019 DXD917486:DXD983019 EGZ917486:EGZ983019 EQV917486:EQV983019 FAR917486:FAR983019 FKN917486:FKN983019 FUJ917486:FUJ983019 GEF917486:GEF983019 GOB917486:GOB983019 GXX917486:GXX983019 HHT917486:HHT983019 HRP917486:HRP983019 IBL917486:IBL983019 ILH917486:ILH983019 IVD917486:IVD983019 JEZ917486:JEZ983019 JOV917486:JOV983019 JYR917486:JYR983019 KIN917486:KIN983019 KSJ917486:KSJ983019 LCF917486:LCF983019 LMB917486:LMB983019 LVX917486:LVX983019 MFT917486:MFT983019 MPP917486:MPP983019 MZL917486:MZL983019 NJH917486:NJH983019 NTD917486:NTD983019 OCZ917486:OCZ983019 OMV917486:OMV983019 OWR917486:OWR983019 PGN917486:PGN983019 PQJ917486:PQJ983019 QAF917486:QAF983019 QKB917486:QKB983019 QTX917486:QTX983019 RDT917486:RDT983019 RNP917486:RNP983019 RXL917486:RXL983019 SHH917486:SHH983019 SRD917486:SRD983019 TAZ917486:TAZ983019 TKV917486:TKV983019 TUR917486:TUR983019 UEN917486:UEN983019 UOJ917486:UOJ983019 UYF917486:UYF983019 VIB917486:VIB983019 VRX917486:VRX983019 WBT917486:WBT983019 WLP917486:WLP983019 WVL917486:WVL983019 WVL983022:WVL1048576 IZ983022:IZ1048576 SV983022:SV1048576 ACR983022:ACR1048576 AMN983022:AMN1048576 AWJ983022:AWJ1048576 BGF983022:BGF1048576 BQB983022:BQB1048576 BZX983022:BZX1048576 CJT983022:CJT1048576 CTP983022:CTP1048576 DDL983022:DDL1048576 DNH983022:DNH1048576 DXD983022:DXD1048576 EGZ983022:EGZ1048576 EQV983022:EQV1048576 FAR983022:FAR1048576 FKN983022:FKN1048576 FUJ983022:FUJ1048576 GEF983022:GEF1048576 GOB983022:GOB1048576 GXX983022:GXX1048576 HHT983022:HHT1048576 HRP983022:HRP1048576 IBL983022:IBL1048576 ILH983022:ILH1048576 IVD983022:IVD1048576 JEZ983022:JEZ1048576 JOV983022:JOV1048576 JYR983022:JYR1048576 KIN983022:KIN1048576 KSJ983022:KSJ1048576 LCF983022:LCF1048576 LMB983022:LMB1048576 LVX983022:LVX1048576 MFT983022:MFT1048576 MPP983022:MPP1048576 MZL983022:MZL1048576 NJH983022:NJH1048576 NTD983022:NTD1048576 OCZ983022:OCZ1048576 OMV983022:OMV1048576 OWR983022:OWR1048576 PGN983022:PGN1048576 PQJ983022:PQJ1048576 QAF983022:QAF1048576 QKB983022:QKB1048576 QTX983022:QTX1048576 RDT983022:RDT1048576 RNP983022:RNP1048576 RXL983022:RXL1048576 SHH983022:SHH1048576 SRD983022:SRD1048576 TAZ983022:TAZ1048576 TKV983022:TKV1048576 TUR983022:TUR1048576 UEN983022:UEN1048576 UOJ983022:UOJ1048576 UYF983022:UYF1048576 VIB983022:VIB1048576 VRX983022:VRX1048576 WBT983022:WBT1048576 WLP983022:WLP1048576 F7:G65515 F983022:G1048576 F917486:G983019 F851950:G917483 F786414:G851947 F720878:G786411 F655342:G720875 F589806:G655339 F524270:G589803 F458734:G524267 F393198:G458731 F327662:G393195 F262126:G327659 F196590:G262123 F131054:G196587 F65518:G131051 K983022:M1048576 K917486:M983019 K851950:M917483 K786414:M851947 K720878:M786411 K655342:M720875 K589806:M655339 K524270:M589803 K458734:M524267 K393198:M458731 K327662:M393195 K262126:M327659 K196590:M262123 K131054:M196587 K65518:M131051 K7:M65515 SV7:SV65515 ACR7:ACR65515 AMN7:AMN65515 AWJ7:AWJ65515 BGF7:BGF65515 BQB7:BQB65515 BZX7:BZX65515 CJT7:CJT65515 CTP7:CTP65515 DDL7:DDL65515 DNH7:DNH65515 DXD7:DXD65515 EGZ7:EGZ65515 EQV7:EQV65515 FAR7:FAR65515 FKN7:FKN65515 FUJ7:FUJ65515 GEF7:GEF65515 GOB7:GOB65515 GXX7:GXX65515 HHT7:HHT65515 HRP7:HRP65515 IBL7:IBL65515 ILH7:ILH65515 IVD7:IVD65515 JEZ7:JEZ65515 JOV7:JOV65515 JYR7:JYR65515 KIN7:KIN65515 KSJ7:KSJ65515 LCF7:LCF65515 LMB7:LMB65515 LVX7:LVX65515 MFT7:MFT65515 MPP7:MPP65515 MZL7:MZL65515 NJH7:NJH65515 NTD7:NTD65515 OCZ7:OCZ65515 OMV7:OMV65515 OWR7:OWR65515 PGN7:PGN65515 PQJ7:PQJ65515 QAF7:QAF65515 QKB7:QKB65515 QTX7:QTX65515 RDT7:RDT65515 RNP7:RNP65515 RXL7:RXL65515 SHH7:SHH65515 SRD7:SRD65515 TAZ7:TAZ65515 TKV7:TKV65515 TUR7:TUR65515 UEN7:UEN65515 UOJ7:UOJ65515 UYF7:UYF65515 VIB7:VIB65515 VRX7:VRX65515 WBT7:WBT65515 WLP7:WLP65515 WVL7:WVL65515 IZ7:IZ65515" xr:uid="{244575B6-9C29-4EEE-9099-DB20C24E7D79}">
      <formula1>300</formula1>
    </dataValidation>
    <dataValidation type="textLength" operator="lessThanOrEqual" allowBlank="1" showInputMessage="1" showErrorMessage="1" errorTitle="FactelExcel" error="Debe ingresar un valor correcto para el Codigo Principal" sqref="IY65518:IY131051 SU65518:SU131051 ACQ65518:ACQ131051 AMM65518:AMM131051 AWI65518:AWI131051 BGE65518:BGE131051 BQA65518:BQA131051 BZW65518:BZW131051 CJS65518:CJS131051 CTO65518:CTO131051 DDK65518:DDK131051 DNG65518:DNG131051 DXC65518:DXC131051 EGY65518:EGY131051 EQU65518:EQU131051 FAQ65518:FAQ131051 FKM65518:FKM131051 FUI65518:FUI131051 GEE65518:GEE131051 GOA65518:GOA131051 GXW65518:GXW131051 HHS65518:HHS131051 HRO65518:HRO131051 IBK65518:IBK131051 ILG65518:ILG131051 IVC65518:IVC131051 JEY65518:JEY131051 JOU65518:JOU131051 JYQ65518:JYQ131051 KIM65518:KIM131051 KSI65518:KSI131051 LCE65518:LCE131051 LMA65518:LMA131051 LVW65518:LVW131051 MFS65518:MFS131051 MPO65518:MPO131051 MZK65518:MZK131051 NJG65518:NJG131051 NTC65518:NTC131051 OCY65518:OCY131051 OMU65518:OMU131051 OWQ65518:OWQ131051 PGM65518:PGM131051 PQI65518:PQI131051 QAE65518:QAE131051 QKA65518:QKA131051 QTW65518:QTW131051 RDS65518:RDS131051 RNO65518:RNO131051 RXK65518:RXK131051 SHG65518:SHG131051 SRC65518:SRC131051 TAY65518:TAY131051 TKU65518:TKU131051 TUQ65518:TUQ131051 UEM65518:UEM131051 UOI65518:UOI131051 UYE65518:UYE131051 VIA65518:VIA131051 VRW65518:VRW131051 WBS65518:WBS131051 WLO65518:WLO131051 WVK65518:WVK131051 IY131054:IY196587 SU131054:SU196587 ACQ131054:ACQ196587 AMM131054:AMM196587 AWI131054:AWI196587 BGE131054:BGE196587 BQA131054:BQA196587 BZW131054:BZW196587 CJS131054:CJS196587 CTO131054:CTO196587 DDK131054:DDK196587 DNG131054:DNG196587 DXC131054:DXC196587 EGY131054:EGY196587 EQU131054:EQU196587 FAQ131054:FAQ196587 FKM131054:FKM196587 FUI131054:FUI196587 GEE131054:GEE196587 GOA131054:GOA196587 GXW131054:GXW196587 HHS131054:HHS196587 HRO131054:HRO196587 IBK131054:IBK196587 ILG131054:ILG196587 IVC131054:IVC196587 JEY131054:JEY196587 JOU131054:JOU196587 JYQ131054:JYQ196587 KIM131054:KIM196587 KSI131054:KSI196587 LCE131054:LCE196587 LMA131054:LMA196587 LVW131054:LVW196587 MFS131054:MFS196587 MPO131054:MPO196587 MZK131054:MZK196587 NJG131054:NJG196587 NTC131054:NTC196587 OCY131054:OCY196587 OMU131054:OMU196587 OWQ131054:OWQ196587 PGM131054:PGM196587 PQI131054:PQI196587 QAE131054:QAE196587 QKA131054:QKA196587 QTW131054:QTW196587 RDS131054:RDS196587 RNO131054:RNO196587 RXK131054:RXK196587 SHG131054:SHG196587 SRC131054:SRC196587 TAY131054:TAY196587 TKU131054:TKU196587 TUQ131054:TUQ196587 UEM131054:UEM196587 UOI131054:UOI196587 UYE131054:UYE196587 VIA131054:VIA196587 VRW131054:VRW196587 WBS131054:WBS196587 WLO131054:WLO196587 WVK131054:WVK196587 IY196590:IY262123 SU196590:SU262123 ACQ196590:ACQ262123 AMM196590:AMM262123 AWI196590:AWI262123 BGE196590:BGE262123 BQA196590:BQA262123 BZW196590:BZW262123 CJS196590:CJS262123 CTO196590:CTO262123 DDK196590:DDK262123 DNG196590:DNG262123 DXC196590:DXC262123 EGY196590:EGY262123 EQU196590:EQU262123 FAQ196590:FAQ262123 FKM196590:FKM262123 FUI196590:FUI262123 GEE196590:GEE262123 GOA196590:GOA262123 GXW196590:GXW262123 HHS196590:HHS262123 HRO196590:HRO262123 IBK196590:IBK262123 ILG196590:ILG262123 IVC196590:IVC262123 JEY196590:JEY262123 JOU196590:JOU262123 JYQ196590:JYQ262123 KIM196590:KIM262123 KSI196590:KSI262123 LCE196590:LCE262123 LMA196590:LMA262123 LVW196590:LVW262123 MFS196590:MFS262123 MPO196590:MPO262123 MZK196590:MZK262123 NJG196590:NJG262123 NTC196590:NTC262123 OCY196590:OCY262123 OMU196590:OMU262123 OWQ196590:OWQ262123 PGM196590:PGM262123 PQI196590:PQI262123 QAE196590:QAE262123 QKA196590:QKA262123 QTW196590:QTW262123 RDS196590:RDS262123 RNO196590:RNO262123 RXK196590:RXK262123 SHG196590:SHG262123 SRC196590:SRC262123 TAY196590:TAY262123 TKU196590:TKU262123 TUQ196590:TUQ262123 UEM196590:UEM262123 UOI196590:UOI262123 UYE196590:UYE262123 VIA196590:VIA262123 VRW196590:VRW262123 WBS196590:WBS262123 WLO196590:WLO262123 WVK196590:WVK262123 IY262126:IY327659 SU262126:SU327659 ACQ262126:ACQ327659 AMM262126:AMM327659 AWI262126:AWI327659 BGE262126:BGE327659 BQA262126:BQA327659 BZW262126:BZW327659 CJS262126:CJS327659 CTO262126:CTO327659 DDK262126:DDK327659 DNG262126:DNG327659 DXC262126:DXC327659 EGY262126:EGY327659 EQU262126:EQU327659 FAQ262126:FAQ327659 FKM262126:FKM327659 FUI262126:FUI327659 GEE262126:GEE327659 GOA262126:GOA327659 GXW262126:GXW327659 HHS262126:HHS327659 HRO262126:HRO327659 IBK262126:IBK327659 ILG262126:ILG327659 IVC262126:IVC327659 JEY262126:JEY327659 JOU262126:JOU327659 JYQ262126:JYQ327659 KIM262126:KIM327659 KSI262126:KSI327659 LCE262126:LCE327659 LMA262126:LMA327659 LVW262126:LVW327659 MFS262126:MFS327659 MPO262126:MPO327659 MZK262126:MZK327659 NJG262126:NJG327659 NTC262126:NTC327659 OCY262126:OCY327659 OMU262126:OMU327659 OWQ262126:OWQ327659 PGM262126:PGM327659 PQI262126:PQI327659 QAE262126:QAE327659 QKA262126:QKA327659 QTW262126:QTW327659 RDS262126:RDS327659 RNO262126:RNO327659 RXK262126:RXK327659 SHG262126:SHG327659 SRC262126:SRC327659 TAY262126:TAY327659 TKU262126:TKU327659 TUQ262126:TUQ327659 UEM262126:UEM327659 UOI262126:UOI327659 UYE262126:UYE327659 VIA262126:VIA327659 VRW262126:VRW327659 WBS262126:WBS327659 WLO262126:WLO327659 WVK262126:WVK327659 IY327662:IY393195 SU327662:SU393195 ACQ327662:ACQ393195 AMM327662:AMM393195 AWI327662:AWI393195 BGE327662:BGE393195 BQA327662:BQA393195 BZW327662:BZW393195 CJS327662:CJS393195 CTO327662:CTO393195 DDK327662:DDK393195 DNG327662:DNG393195 DXC327662:DXC393195 EGY327662:EGY393195 EQU327662:EQU393195 FAQ327662:FAQ393195 FKM327662:FKM393195 FUI327662:FUI393195 GEE327662:GEE393195 GOA327662:GOA393195 GXW327662:GXW393195 HHS327662:HHS393195 HRO327662:HRO393195 IBK327662:IBK393195 ILG327662:ILG393195 IVC327662:IVC393195 JEY327662:JEY393195 JOU327662:JOU393195 JYQ327662:JYQ393195 KIM327662:KIM393195 KSI327662:KSI393195 LCE327662:LCE393195 LMA327662:LMA393195 LVW327662:LVW393195 MFS327662:MFS393195 MPO327662:MPO393195 MZK327662:MZK393195 NJG327662:NJG393195 NTC327662:NTC393195 OCY327662:OCY393195 OMU327662:OMU393195 OWQ327662:OWQ393195 PGM327662:PGM393195 PQI327662:PQI393195 QAE327662:QAE393195 QKA327662:QKA393195 QTW327662:QTW393195 RDS327662:RDS393195 RNO327662:RNO393195 RXK327662:RXK393195 SHG327662:SHG393195 SRC327662:SRC393195 TAY327662:TAY393195 TKU327662:TKU393195 TUQ327662:TUQ393195 UEM327662:UEM393195 UOI327662:UOI393195 UYE327662:UYE393195 VIA327662:VIA393195 VRW327662:VRW393195 WBS327662:WBS393195 WLO327662:WLO393195 WVK327662:WVK393195 IY393198:IY458731 SU393198:SU458731 ACQ393198:ACQ458731 AMM393198:AMM458731 AWI393198:AWI458731 BGE393198:BGE458731 BQA393198:BQA458731 BZW393198:BZW458731 CJS393198:CJS458731 CTO393198:CTO458731 DDK393198:DDK458731 DNG393198:DNG458731 DXC393198:DXC458731 EGY393198:EGY458731 EQU393198:EQU458731 FAQ393198:FAQ458731 FKM393198:FKM458731 FUI393198:FUI458731 GEE393198:GEE458731 GOA393198:GOA458731 GXW393198:GXW458731 HHS393198:HHS458731 HRO393198:HRO458731 IBK393198:IBK458731 ILG393198:ILG458731 IVC393198:IVC458731 JEY393198:JEY458731 JOU393198:JOU458731 JYQ393198:JYQ458731 KIM393198:KIM458731 KSI393198:KSI458731 LCE393198:LCE458731 LMA393198:LMA458731 LVW393198:LVW458731 MFS393198:MFS458731 MPO393198:MPO458731 MZK393198:MZK458731 NJG393198:NJG458731 NTC393198:NTC458731 OCY393198:OCY458731 OMU393198:OMU458731 OWQ393198:OWQ458731 PGM393198:PGM458731 PQI393198:PQI458731 QAE393198:QAE458731 QKA393198:QKA458731 QTW393198:QTW458731 RDS393198:RDS458731 RNO393198:RNO458731 RXK393198:RXK458731 SHG393198:SHG458731 SRC393198:SRC458731 TAY393198:TAY458731 TKU393198:TKU458731 TUQ393198:TUQ458731 UEM393198:UEM458731 UOI393198:UOI458731 UYE393198:UYE458731 VIA393198:VIA458731 VRW393198:VRW458731 WBS393198:WBS458731 WLO393198:WLO458731 WVK393198:WVK458731 IY458734:IY524267 SU458734:SU524267 ACQ458734:ACQ524267 AMM458734:AMM524267 AWI458734:AWI524267 BGE458734:BGE524267 BQA458734:BQA524267 BZW458734:BZW524267 CJS458734:CJS524267 CTO458734:CTO524267 DDK458734:DDK524267 DNG458734:DNG524267 DXC458734:DXC524267 EGY458734:EGY524267 EQU458734:EQU524267 FAQ458734:FAQ524267 FKM458734:FKM524267 FUI458734:FUI524267 GEE458734:GEE524267 GOA458734:GOA524267 GXW458734:GXW524267 HHS458734:HHS524267 HRO458734:HRO524267 IBK458734:IBK524267 ILG458734:ILG524267 IVC458734:IVC524267 JEY458734:JEY524267 JOU458734:JOU524267 JYQ458734:JYQ524267 KIM458734:KIM524267 KSI458734:KSI524267 LCE458734:LCE524267 LMA458734:LMA524267 LVW458734:LVW524267 MFS458734:MFS524267 MPO458734:MPO524267 MZK458734:MZK524267 NJG458734:NJG524267 NTC458734:NTC524267 OCY458734:OCY524267 OMU458734:OMU524267 OWQ458734:OWQ524267 PGM458734:PGM524267 PQI458734:PQI524267 QAE458734:QAE524267 QKA458734:QKA524267 QTW458734:QTW524267 RDS458734:RDS524267 RNO458734:RNO524267 RXK458734:RXK524267 SHG458734:SHG524267 SRC458734:SRC524267 TAY458734:TAY524267 TKU458734:TKU524267 TUQ458734:TUQ524267 UEM458734:UEM524267 UOI458734:UOI524267 UYE458734:UYE524267 VIA458734:VIA524267 VRW458734:VRW524267 WBS458734:WBS524267 WLO458734:WLO524267 WVK458734:WVK524267 IY524270:IY589803 SU524270:SU589803 ACQ524270:ACQ589803 AMM524270:AMM589803 AWI524270:AWI589803 BGE524270:BGE589803 BQA524270:BQA589803 BZW524270:BZW589803 CJS524270:CJS589803 CTO524270:CTO589803 DDK524270:DDK589803 DNG524270:DNG589803 DXC524270:DXC589803 EGY524270:EGY589803 EQU524270:EQU589803 FAQ524270:FAQ589803 FKM524270:FKM589803 FUI524270:FUI589803 GEE524270:GEE589803 GOA524270:GOA589803 GXW524270:GXW589803 HHS524270:HHS589803 HRO524270:HRO589803 IBK524270:IBK589803 ILG524270:ILG589803 IVC524270:IVC589803 JEY524270:JEY589803 JOU524270:JOU589803 JYQ524270:JYQ589803 KIM524270:KIM589803 KSI524270:KSI589803 LCE524270:LCE589803 LMA524270:LMA589803 LVW524270:LVW589803 MFS524270:MFS589803 MPO524270:MPO589803 MZK524270:MZK589803 NJG524270:NJG589803 NTC524270:NTC589803 OCY524270:OCY589803 OMU524270:OMU589803 OWQ524270:OWQ589803 PGM524270:PGM589803 PQI524270:PQI589803 QAE524270:QAE589803 QKA524270:QKA589803 QTW524270:QTW589803 RDS524270:RDS589803 RNO524270:RNO589803 RXK524270:RXK589803 SHG524270:SHG589803 SRC524270:SRC589803 TAY524270:TAY589803 TKU524270:TKU589803 TUQ524270:TUQ589803 UEM524270:UEM589803 UOI524270:UOI589803 UYE524270:UYE589803 VIA524270:VIA589803 VRW524270:VRW589803 WBS524270:WBS589803 WLO524270:WLO589803 WVK524270:WVK589803 IY589806:IY655339 SU589806:SU655339 ACQ589806:ACQ655339 AMM589806:AMM655339 AWI589806:AWI655339 BGE589806:BGE655339 BQA589806:BQA655339 BZW589806:BZW655339 CJS589806:CJS655339 CTO589806:CTO655339 DDK589806:DDK655339 DNG589806:DNG655339 DXC589806:DXC655339 EGY589806:EGY655339 EQU589806:EQU655339 FAQ589806:FAQ655339 FKM589806:FKM655339 FUI589806:FUI655339 GEE589806:GEE655339 GOA589806:GOA655339 GXW589806:GXW655339 HHS589806:HHS655339 HRO589806:HRO655339 IBK589806:IBK655339 ILG589806:ILG655339 IVC589806:IVC655339 JEY589806:JEY655339 JOU589806:JOU655339 JYQ589806:JYQ655339 KIM589806:KIM655339 KSI589806:KSI655339 LCE589806:LCE655339 LMA589806:LMA655339 LVW589806:LVW655339 MFS589806:MFS655339 MPO589806:MPO655339 MZK589806:MZK655339 NJG589806:NJG655339 NTC589806:NTC655339 OCY589806:OCY655339 OMU589806:OMU655339 OWQ589806:OWQ655339 PGM589806:PGM655339 PQI589806:PQI655339 QAE589806:QAE655339 QKA589806:QKA655339 QTW589806:QTW655339 RDS589806:RDS655339 RNO589806:RNO655339 RXK589806:RXK655339 SHG589806:SHG655339 SRC589806:SRC655339 TAY589806:TAY655339 TKU589806:TKU655339 TUQ589806:TUQ655339 UEM589806:UEM655339 UOI589806:UOI655339 UYE589806:UYE655339 VIA589806:VIA655339 VRW589806:VRW655339 WBS589806:WBS655339 WLO589806:WLO655339 WVK589806:WVK655339 IY655342:IY720875 SU655342:SU720875 ACQ655342:ACQ720875 AMM655342:AMM720875 AWI655342:AWI720875 BGE655342:BGE720875 BQA655342:BQA720875 BZW655342:BZW720875 CJS655342:CJS720875 CTO655342:CTO720875 DDK655342:DDK720875 DNG655342:DNG720875 DXC655342:DXC720875 EGY655342:EGY720875 EQU655342:EQU720875 FAQ655342:FAQ720875 FKM655342:FKM720875 FUI655342:FUI720875 GEE655342:GEE720875 GOA655342:GOA720875 GXW655342:GXW720875 HHS655342:HHS720875 HRO655342:HRO720875 IBK655342:IBK720875 ILG655342:ILG720875 IVC655342:IVC720875 JEY655342:JEY720875 JOU655342:JOU720875 JYQ655342:JYQ720875 KIM655342:KIM720875 KSI655342:KSI720875 LCE655342:LCE720875 LMA655342:LMA720875 LVW655342:LVW720875 MFS655342:MFS720875 MPO655342:MPO720875 MZK655342:MZK720875 NJG655342:NJG720875 NTC655342:NTC720875 OCY655342:OCY720875 OMU655342:OMU720875 OWQ655342:OWQ720875 PGM655342:PGM720875 PQI655342:PQI720875 QAE655342:QAE720875 QKA655342:QKA720875 QTW655342:QTW720875 RDS655342:RDS720875 RNO655342:RNO720875 RXK655342:RXK720875 SHG655342:SHG720875 SRC655342:SRC720875 TAY655342:TAY720875 TKU655342:TKU720875 TUQ655342:TUQ720875 UEM655342:UEM720875 UOI655342:UOI720875 UYE655342:UYE720875 VIA655342:VIA720875 VRW655342:VRW720875 WBS655342:WBS720875 WLO655342:WLO720875 WVK655342:WVK720875 IY720878:IY786411 SU720878:SU786411 ACQ720878:ACQ786411 AMM720878:AMM786411 AWI720878:AWI786411 BGE720878:BGE786411 BQA720878:BQA786411 BZW720878:BZW786411 CJS720878:CJS786411 CTO720878:CTO786411 DDK720878:DDK786411 DNG720878:DNG786411 DXC720878:DXC786411 EGY720878:EGY786411 EQU720878:EQU786411 FAQ720878:FAQ786411 FKM720878:FKM786411 FUI720878:FUI786411 GEE720878:GEE786411 GOA720878:GOA786411 GXW720878:GXW786411 HHS720878:HHS786411 HRO720878:HRO786411 IBK720878:IBK786411 ILG720878:ILG786411 IVC720878:IVC786411 JEY720878:JEY786411 JOU720878:JOU786411 JYQ720878:JYQ786411 KIM720878:KIM786411 KSI720878:KSI786411 LCE720878:LCE786411 LMA720878:LMA786411 LVW720878:LVW786411 MFS720878:MFS786411 MPO720878:MPO786411 MZK720878:MZK786411 NJG720878:NJG786411 NTC720878:NTC786411 OCY720878:OCY786411 OMU720878:OMU786411 OWQ720878:OWQ786411 PGM720878:PGM786411 PQI720878:PQI786411 QAE720878:QAE786411 QKA720878:QKA786411 QTW720878:QTW786411 RDS720878:RDS786411 RNO720878:RNO786411 RXK720878:RXK786411 SHG720878:SHG786411 SRC720878:SRC786411 TAY720878:TAY786411 TKU720878:TKU786411 TUQ720878:TUQ786411 UEM720878:UEM786411 UOI720878:UOI786411 UYE720878:UYE786411 VIA720878:VIA786411 VRW720878:VRW786411 WBS720878:WBS786411 WLO720878:WLO786411 WVK720878:WVK786411 IY786414:IY851947 SU786414:SU851947 ACQ786414:ACQ851947 AMM786414:AMM851947 AWI786414:AWI851947 BGE786414:BGE851947 BQA786414:BQA851947 BZW786414:BZW851947 CJS786414:CJS851947 CTO786414:CTO851947 DDK786414:DDK851947 DNG786414:DNG851947 DXC786414:DXC851947 EGY786414:EGY851947 EQU786414:EQU851947 FAQ786414:FAQ851947 FKM786414:FKM851947 FUI786414:FUI851947 GEE786414:GEE851947 GOA786414:GOA851947 GXW786414:GXW851947 HHS786414:HHS851947 HRO786414:HRO851947 IBK786414:IBK851947 ILG786414:ILG851947 IVC786414:IVC851947 JEY786414:JEY851947 JOU786414:JOU851947 JYQ786414:JYQ851947 KIM786414:KIM851947 KSI786414:KSI851947 LCE786414:LCE851947 LMA786414:LMA851947 LVW786414:LVW851947 MFS786414:MFS851947 MPO786414:MPO851947 MZK786414:MZK851947 NJG786414:NJG851947 NTC786414:NTC851947 OCY786414:OCY851947 OMU786414:OMU851947 OWQ786414:OWQ851947 PGM786414:PGM851947 PQI786414:PQI851947 QAE786414:QAE851947 QKA786414:QKA851947 QTW786414:QTW851947 RDS786414:RDS851947 RNO786414:RNO851947 RXK786414:RXK851947 SHG786414:SHG851947 SRC786414:SRC851947 TAY786414:TAY851947 TKU786414:TKU851947 TUQ786414:TUQ851947 UEM786414:UEM851947 UOI786414:UOI851947 UYE786414:UYE851947 VIA786414:VIA851947 VRW786414:VRW851947 WBS786414:WBS851947 WLO786414:WLO851947 WVK786414:WVK851947 IY851950:IY917483 SU851950:SU917483 ACQ851950:ACQ917483 AMM851950:AMM917483 AWI851950:AWI917483 BGE851950:BGE917483 BQA851950:BQA917483 BZW851950:BZW917483 CJS851950:CJS917483 CTO851950:CTO917483 DDK851950:DDK917483 DNG851950:DNG917483 DXC851950:DXC917483 EGY851950:EGY917483 EQU851950:EQU917483 FAQ851950:FAQ917483 FKM851950:FKM917483 FUI851950:FUI917483 GEE851950:GEE917483 GOA851950:GOA917483 GXW851950:GXW917483 HHS851950:HHS917483 HRO851950:HRO917483 IBK851950:IBK917483 ILG851950:ILG917483 IVC851950:IVC917483 JEY851950:JEY917483 JOU851950:JOU917483 JYQ851950:JYQ917483 KIM851950:KIM917483 KSI851950:KSI917483 LCE851950:LCE917483 LMA851950:LMA917483 LVW851950:LVW917483 MFS851950:MFS917483 MPO851950:MPO917483 MZK851950:MZK917483 NJG851950:NJG917483 NTC851950:NTC917483 OCY851950:OCY917483 OMU851950:OMU917483 OWQ851950:OWQ917483 PGM851950:PGM917483 PQI851950:PQI917483 QAE851950:QAE917483 QKA851950:QKA917483 QTW851950:QTW917483 RDS851950:RDS917483 RNO851950:RNO917483 RXK851950:RXK917483 SHG851950:SHG917483 SRC851950:SRC917483 TAY851950:TAY917483 TKU851950:TKU917483 TUQ851950:TUQ917483 UEM851950:UEM917483 UOI851950:UOI917483 UYE851950:UYE917483 VIA851950:VIA917483 VRW851950:VRW917483 WBS851950:WBS917483 WLO851950:WLO917483 WVK851950:WVK917483 IY917486:IY983019 SU917486:SU983019 ACQ917486:ACQ983019 AMM917486:AMM983019 AWI917486:AWI983019 BGE917486:BGE983019 BQA917486:BQA983019 BZW917486:BZW983019 CJS917486:CJS983019 CTO917486:CTO983019 DDK917486:DDK983019 DNG917486:DNG983019 DXC917486:DXC983019 EGY917486:EGY983019 EQU917486:EQU983019 FAQ917486:FAQ983019 FKM917486:FKM983019 FUI917486:FUI983019 GEE917486:GEE983019 GOA917486:GOA983019 GXW917486:GXW983019 HHS917486:HHS983019 HRO917486:HRO983019 IBK917486:IBK983019 ILG917486:ILG983019 IVC917486:IVC983019 JEY917486:JEY983019 JOU917486:JOU983019 JYQ917486:JYQ983019 KIM917486:KIM983019 KSI917486:KSI983019 LCE917486:LCE983019 LMA917486:LMA983019 LVW917486:LVW983019 MFS917486:MFS983019 MPO917486:MPO983019 MZK917486:MZK983019 NJG917486:NJG983019 NTC917486:NTC983019 OCY917486:OCY983019 OMU917486:OMU983019 OWQ917486:OWQ983019 PGM917486:PGM983019 PQI917486:PQI983019 QAE917486:QAE983019 QKA917486:QKA983019 QTW917486:QTW983019 RDS917486:RDS983019 RNO917486:RNO983019 RXK917486:RXK983019 SHG917486:SHG983019 SRC917486:SRC983019 TAY917486:TAY983019 TKU917486:TKU983019 TUQ917486:TUQ983019 UEM917486:UEM983019 UOI917486:UOI983019 UYE917486:UYE983019 VIA917486:VIA983019 VRW917486:VRW983019 WBS917486:WBS983019 WLO917486:WLO983019 WVK917486:WVK983019 WVK983022:WVK1048576 IY983022:IY1048576 SU983022:SU1048576 ACQ983022:ACQ1048576 AMM983022:AMM1048576 AWI983022:AWI1048576 BGE983022:BGE1048576 BQA983022:BQA1048576 BZW983022:BZW1048576 CJS983022:CJS1048576 CTO983022:CTO1048576 DDK983022:DDK1048576 DNG983022:DNG1048576 DXC983022:DXC1048576 EGY983022:EGY1048576 EQU983022:EQU1048576 FAQ983022:FAQ1048576 FKM983022:FKM1048576 FUI983022:FUI1048576 GEE983022:GEE1048576 GOA983022:GOA1048576 GXW983022:GXW1048576 HHS983022:HHS1048576 HRO983022:HRO1048576 IBK983022:IBK1048576 ILG983022:ILG1048576 IVC983022:IVC1048576 JEY983022:JEY1048576 JOU983022:JOU1048576 JYQ983022:JYQ1048576 KIM983022:KIM1048576 KSI983022:KSI1048576 LCE983022:LCE1048576 LMA983022:LMA1048576 LVW983022:LVW1048576 MFS983022:MFS1048576 MPO983022:MPO1048576 MZK983022:MZK1048576 NJG983022:NJG1048576 NTC983022:NTC1048576 OCY983022:OCY1048576 OMU983022:OMU1048576 OWQ983022:OWQ1048576 PGM983022:PGM1048576 PQI983022:PQI1048576 QAE983022:QAE1048576 QKA983022:QKA1048576 QTW983022:QTW1048576 RDS983022:RDS1048576 RNO983022:RNO1048576 RXK983022:RXK1048576 SHG983022:SHG1048576 SRC983022:SRC1048576 TAY983022:TAY1048576 TKU983022:TKU1048576 TUQ983022:TUQ1048576 UEM983022:UEM1048576 UOI983022:UOI1048576 UYE983022:UYE1048576 VIA983022:VIA1048576 VRW983022:VRW1048576 WBS983022:WBS1048576 WLO983022:WLO1048576 A65518:F131051 A131054:F196587 A196590:F262123 A262126:F327659 A327662:F393195 A393198:F458731 A458734:F524267 A524270:F589803 A589806:F655339 A655342:F720875 A720878:F786411 A786414:F851947 A851950:F917483 A917486:F983019 A983022:F1048576 A7:F65515 SU7:SU65515 ACQ7:ACQ65515 AMM7:AMM65515 AWI7:AWI65515 BGE7:BGE65515 BQA7:BQA65515 BZW7:BZW65515 CJS7:CJS65515 CTO7:CTO65515 DDK7:DDK65515 DNG7:DNG65515 DXC7:DXC65515 EGY7:EGY65515 EQU7:EQU65515 FAQ7:FAQ65515 FKM7:FKM65515 FUI7:FUI65515 GEE7:GEE65515 GOA7:GOA65515 GXW7:GXW65515 HHS7:HHS65515 HRO7:HRO65515 IBK7:IBK65515 ILG7:ILG65515 IVC7:IVC65515 JEY7:JEY65515 JOU7:JOU65515 JYQ7:JYQ65515 KIM7:KIM65515 KSI7:KSI65515 LCE7:LCE65515 LMA7:LMA65515 LVW7:LVW65515 MFS7:MFS65515 MPO7:MPO65515 MZK7:MZK65515 NJG7:NJG65515 NTC7:NTC65515 OCY7:OCY65515 OMU7:OMU65515 OWQ7:OWQ65515 PGM7:PGM65515 PQI7:PQI65515 QAE7:QAE65515 QKA7:QKA65515 QTW7:QTW65515 RDS7:RDS65515 RNO7:RNO65515 RXK7:RXK65515 SHG7:SHG65515 SRC7:SRC65515 TAY7:TAY65515 TKU7:TKU65515 TUQ7:TUQ65515 UEM7:UEM65515 UOI7:UOI65515 UYE7:UYE65515 VIA7:VIA65515 VRW7:VRW65515 WBS7:WBS65515 WLO7:WLO65515 WVK7:WVK65515 IY7:IY65515" xr:uid="{696D9B84-96EC-4CAC-9E71-D96D4EAEE0AA}">
      <formula1>25</formula1>
    </dataValidation>
    <dataValidation type="list" allowBlank="1" showInputMessage="1" showErrorMessage="1" sqref="WVN983022:WVN983032 JB65518:JB65528 SX65518:SX65528 ACT65518:ACT65528 AMP65518:AMP65528 AWL65518:AWL65528 BGH65518:BGH65528 BQD65518:BQD65528 BZZ65518:BZZ65528 CJV65518:CJV65528 CTR65518:CTR65528 DDN65518:DDN65528 DNJ65518:DNJ65528 DXF65518:DXF65528 EHB65518:EHB65528 EQX65518:EQX65528 FAT65518:FAT65528 FKP65518:FKP65528 FUL65518:FUL65528 GEH65518:GEH65528 GOD65518:GOD65528 GXZ65518:GXZ65528 HHV65518:HHV65528 HRR65518:HRR65528 IBN65518:IBN65528 ILJ65518:ILJ65528 IVF65518:IVF65528 JFB65518:JFB65528 JOX65518:JOX65528 JYT65518:JYT65528 KIP65518:KIP65528 KSL65518:KSL65528 LCH65518:LCH65528 LMD65518:LMD65528 LVZ65518:LVZ65528 MFV65518:MFV65528 MPR65518:MPR65528 MZN65518:MZN65528 NJJ65518:NJJ65528 NTF65518:NTF65528 ODB65518:ODB65528 OMX65518:OMX65528 OWT65518:OWT65528 PGP65518:PGP65528 PQL65518:PQL65528 QAH65518:QAH65528 QKD65518:QKD65528 QTZ65518:QTZ65528 RDV65518:RDV65528 RNR65518:RNR65528 RXN65518:RXN65528 SHJ65518:SHJ65528 SRF65518:SRF65528 TBB65518:TBB65528 TKX65518:TKX65528 TUT65518:TUT65528 UEP65518:UEP65528 UOL65518:UOL65528 UYH65518:UYH65528 VID65518:VID65528 VRZ65518:VRZ65528 WBV65518:WBV65528 WLR65518:WLR65528 WVN65518:WVN65528 JB131054:JB131064 SX131054:SX131064 ACT131054:ACT131064 AMP131054:AMP131064 AWL131054:AWL131064 BGH131054:BGH131064 BQD131054:BQD131064 BZZ131054:BZZ131064 CJV131054:CJV131064 CTR131054:CTR131064 DDN131054:DDN131064 DNJ131054:DNJ131064 DXF131054:DXF131064 EHB131054:EHB131064 EQX131054:EQX131064 FAT131054:FAT131064 FKP131054:FKP131064 FUL131054:FUL131064 GEH131054:GEH131064 GOD131054:GOD131064 GXZ131054:GXZ131064 HHV131054:HHV131064 HRR131054:HRR131064 IBN131054:IBN131064 ILJ131054:ILJ131064 IVF131054:IVF131064 JFB131054:JFB131064 JOX131054:JOX131064 JYT131054:JYT131064 KIP131054:KIP131064 KSL131054:KSL131064 LCH131054:LCH131064 LMD131054:LMD131064 LVZ131054:LVZ131064 MFV131054:MFV131064 MPR131054:MPR131064 MZN131054:MZN131064 NJJ131054:NJJ131064 NTF131054:NTF131064 ODB131054:ODB131064 OMX131054:OMX131064 OWT131054:OWT131064 PGP131054:PGP131064 PQL131054:PQL131064 QAH131054:QAH131064 QKD131054:QKD131064 QTZ131054:QTZ131064 RDV131054:RDV131064 RNR131054:RNR131064 RXN131054:RXN131064 SHJ131054:SHJ131064 SRF131054:SRF131064 TBB131054:TBB131064 TKX131054:TKX131064 TUT131054:TUT131064 UEP131054:UEP131064 UOL131054:UOL131064 UYH131054:UYH131064 VID131054:VID131064 VRZ131054:VRZ131064 WBV131054:WBV131064 WLR131054:WLR131064 WVN131054:WVN131064 JB196590:JB196600 SX196590:SX196600 ACT196590:ACT196600 AMP196590:AMP196600 AWL196590:AWL196600 BGH196590:BGH196600 BQD196590:BQD196600 BZZ196590:BZZ196600 CJV196590:CJV196600 CTR196590:CTR196600 DDN196590:DDN196600 DNJ196590:DNJ196600 DXF196590:DXF196600 EHB196590:EHB196600 EQX196590:EQX196600 FAT196590:FAT196600 FKP196590:FKP196600 FUL196590:FUL196600 GEH196590:GEH196600 GOD196590:GOD196600 GXZ196590:GXZ196600 HHV196590:HHV196600 HRR196590:HRR196600 IBN196590:IBN196600 ILJ196590:ILJ196600 IVF196590:IVF196600 JFB196590:JFB196600 JOX196590:JOX196600 JYT196590:JYT196600 KIP196590:KIP196600 KSL196590:KSL196600 LCH196590:LCH196600 LMD196590:LMD196600 LVZ196590:LVZ196600 MFV196590:MFV196600 MPR196590:MPR196600 MZN196590:MZN196600 NJJ196590:NJJ196600 NTF196590:NTF196600 ODB196590:ODB196600 OMX196590:OMX196600 OWT196590:OWT196600 PGP196590:PGP196600 PQL196590:PQL196600 QAH196590:QAH196600 QKD196590:QKD196600 QTZ196590:QTZ196600 RDV196590:RDV196600 RNR196590:RNR196600 RXN196590:RXN196600 SHJ196590:SHJ196600 SRF196590:SRF196600 TBB196590:TBB196600 TKX196590:TKX196600 TUT196590:TUT196600 UEP196590:UEP196600 UOL196590:UOL196600 UYH196590:UYH196600 VID196590:VID196600 VRZ196590:VRZ196600 WBV196590:WBV196600 WLR196590:WLR196600 WVN196590:WVN196600 JB262126:JB262136 SX262126:SX262136 ACT262126:ACT262136 AMP262126:AMP262136 AWL262126:AWL262136 BGH262126:BGH262136 BQD262126:BQD262136 BZZ262126:BZZ262136 CJV262126:CJV262136 CTR262126:CTR262136 DDN262126:DDN262136 DNJ262126:DNJ262136 DXF262126:DXF262136 EHB262126:EHB262136 EQX262126:EQX262136 FAT262126:FAT262136 FKP262126:FKP262136 FUL262126:FUL262136 GEH262126:GEH262136 GOD262126:GOD262136 GXZ262126:GXZ262136 HHV262126:HHV262136 HRR262126:HRR262136 IBN262126:IBN262136 ILJ262126:ILJ262136 IVF262126:IVF262136 JFB262126:JFB262136 JOX262126:JOX262136 JYT262126:JYT262136 KIP262126:KIP262136 KSL262126:KSL262136 LCH262126:LCH262136 LMD262126:LMD262136 LVZ262126:LVZ262136 MFV262126:MFV262136 MPR262126:MPR262136 MZN262126:MZN262136 NJJ262126:NJJ262136 NTF262126:NTF262136 ODB262126:ODB262136 OMX262126:OMX262136 OWT262126:OWT262136 PGP262126:PGP262136 PQL262126:PQL262136 QAH262126:QAH262136 QKD262126:QKD262136 QTZ262126:QTZ262136 RDV262126:RDV262136 RNR262126:RNR262136 RXN262126:RXN262136 SHJ262126:SHJ262136 SRF262126:SRF262136 TBB262126:TBB262136 TKX262126:TKX262136 TUT262126:TUT262136 UEP262126:UEP262136 UOL262126:UOL262136 UYH262126:UYH262136 VID262126:VID262136 VRZ262126:VRZ262136 WBV262126:WBV262136 WLR262126:WLR262136 WVN262126:WVN262136 JB327662:JB327672 SX327662:SX327672 ACT327662:ACT327672 AMP327662:AMP327672 AWL327662:AWL327672 BGH327662:BGH327672 BQD327662:BQD327672 BZZ327662:BZZ327672 CJV327662:CJV327672 CTR327662:CTR327672 DDN327662:DDN327672 DNJ327662:DNJ327672 DXF327662:DXF327672 EHB327662:EHB327672 EQX327662:EQX327672 FAT327662:FAT327672 FKP327662:FKP327672 FUL327662:FUL327672 GEH327662:GEH327672 GOD327662:GOD327672 GXZ327662:GXZ327672 HHV327662:HHV327672 HRR327662:HRR327672 IBN327662:IBN327672 ILJ327662:ILJ327672 IVF327662:IVF327672 JFB327662:JFB327672 JOX327662:JOX327672 JYT327662:JYT327672 KIP327662:KIP327672 KSL327662:KSL327672 LCH327662:LCH327672 LMD327662:LMD327672 LVZ327662:LVZ327672 MFV327662:MFV327672 MPR327662:MPR327672 MZN327662:MZN327672 NJJ327662:NJJ327672 NTF327662:NTF327672 ODB327662:ODB327672 OMX327662:OMX327672 OWT327662:OWT327672 PGP327662:PGP327672 PQL327662:PQL327672 QAH327662:QAH327672 QKD327662:QKD327672 QTZ327662:QTZ327672 RDV327662:RDV327672 RNR327662:RNR327672 RXN327662:RXN327672 SHJ327662:SHJ327672 SRF327662:SRF327672 TBB327662:TBB327672 TKX327662:TKX327672 TUT327662:TUT327672 UEP327662:UEP327672 UOL327662:UOL327672 UYH327662:UYH327672 VID327662:VID327672 VRZ327662:VRZ327672 WBV327662:WBV327672 WLR327662:WLR327672 WVN327662:WVN327672 JB393198:JB393208 SX393198:SX393208 ACT393198:ACT393208 AMP393198:AMP393208 AWL393198:AWL393208 BGH393198:BGH393208 BQD393198:BQD393208 BZZ393198:BZZ393208 CJV393198:CJV393208 CTR393198:CTR393208 DDN393198:DDN393208 DNJ393198:DNJ393208 DXF393198:DXF393208 EHB393198:EHB393208 EQX393198:EQX393208 FAT393198:FAT393208 FKP393198:FKP393208 FUL393198:FUL393208 GEH393198:GEH393208 GOD393198:GOD393208 GXZ393198:GXZ393208 HHV393198:HHV393208 HRR393198:HRR393208 IBN393198:IBN393208 ILJ393198:ILJ393208 IVF393198:IVF393208 JFB393198:JFB393208 JOX393198:JOX393208 JYT393198:JYT393208 KIP393198:KIP393208 KSL393198:KSL393208 LCH393198:LCH393208 LMD393198:LMD393208 LVZ393198:LVZ393208 MFV393198:MFV393208 MPR393198:MPR393208 MZN393198:MZN393208 NJJ393198:NJJ393208 NTF393198:NTF393208 ODB393198:ODB393208 OMX393198:OMX393208 OWT393198:OWT393208 PGP393198:PGP393208 PQL393198:PQL393208 QAH393198:QAH393208 QKD393198:QKD393208 QTZ393198:QTZ393208 RDV393198:RDV393208 RNR393198:RNR393208 RXN393198:RXN393208 SHJ393198:SHJ393208 SRF393198:SRF393208 TBB393198:TBB393208 TKX393198:TKX393208 TUT393198:TUT393208 UEP393198:UEP393208 UOL393198:UOL393208 UYH393198:UYH393208 VID393198:VID393208 VRZ393198:VRZ393208 WBV393198:WBV393208 WLR393198:WLR393208 WVN393198:WVN393208 JB458734:JB458744 SX458734:SX458744 ACT458734:ACT458744 AMP458734:AMP458744 AWL458734:AWL458744 BGH458734:BGH458744 BQD458734:BQD458744 BZZ458734:BZZ458744 CJV458734:CJV458744 CTR458734:CTR458744 DDN458734:DDN458744 DNJ458734:DNJ458744 DXF458734:DXF458744 EHB458734:EHB458744 EQX458734:EQX458744 FAT458734:FAT458744 FKP458734:FKP458744 FUL458734:FUL458744 GEH458734:GEH458744 GOD458734:GOD458744 GXZ458734:GXZ458744 HHV458734:HHV458744 HRR458734:HRR458744 IBN458734:IBN458744 ILJ458734:ILJ458744 IVF458734:IVF458744 JFB458734:JFB458744 JOX458734:JOX458744 JYT458734:JYT458744 KIP458734:KIP458744 KSL458734:KSL458744 LCH458734:LCH458744 LMD458734:LMD458744 LVZ458734:LVZ458744 MFV458734:MFV458744 MPR458734:MPR458744 MZN458734:MZN458744 NJJ458734:NJJ458744 NTF458734:NTF458744 ODB458734:ODB458744 OMX458734:OMX458744 OWT458734:OWT458744 PGP458734:PGP458744 PQL458734:PQL458744 QAH458734:QAH458744 QKD458734:QKD458744 QTZ458734:QTZ458744 RDV458734:RDV458744 RNR458734:RNR458744 RXN458734:RXN458744 SHJ458734:SHJ458744 SRF458734:SRF458744 TBB458734:TBB458744 TKX458734:TKX458744 TUT458734:TUT458744 UEP458734:UEP458744 UOL458734:UOL458744 UYH458734:UYH458744 VID458734:VID458744 VRZ458734:VRZ458744 WBV458734:WBV458744 WLR458734:WLR458744 WVN458734:WVN458744 JB524270:JB524280 SX524270:SX524280 ACT524270:ACT524280 AMP524270:AMP524280 AWL524270:AWL524280 BGH524270:BGH524280 BQD524270:BQD524280 BZZ524270:BZZ524280 CJV524270:CJV524280 CTR524270:CTR524280 DDN524270:DDN524280 DNJ524270:DNJ524280 DXF524270:DXF524280 EHB524270:EHB524280 EQX524270:EQX524280 FAT524270:FAT524280 FKP524270:FKP524280 FUL524270:FUL524280 GEH524270:GEH524280 GOD524270:GOD524280 GXZ524270:GXZ524280 HHV524270:HHV524280 HRR524270:HRR524280 IBN524270:IBN524280 ILJ524270:ILJ524280 IVF524270:IVF524280 JFB524270:JFB524280 JOX524270:JOX524280 JYT524270:JYT524280 KIP524270:KIP524280 KSL524270:KSL524280 LCH524270:LCH524280 LMD524270:LMD524280 LVZ524270:LVZ524280 MFV524270:MFV524280 MPR524270:MPR524280 MZN524270:MZN524280 NJJ524270:NJJ524280 NTF524270:NTF524280 ODB524270:ODB524280 OMX524270:OMX524280 OWT524270:OWT524280 PGP524270:PGP524280 PQL524270:PQL524280 QAH524270:QAH524280 QKD524270:QKD524280 QTZ524270:QTZ524280 RDV524270:RDV524280 RNR524270:RNR524280 RXN524270:RXN524280 SHJ524270:SHJ524280 SRF524270:SRF524280 TBB524270:TBB524280 TKX524270:TKX524280 TUT524270:TUT524280 UEP524270:UEP524280 UOL524270:UOL524280 UYH524270:UYH524280 VID524270:VID524280 VRZ524270:VRZ524280 WBV524270:WBV524280 WLR524270:WLR524280 WVN524270:WVN524280 JB589806:JB589816 SX589806:SX589816 ACT589806:ACT589816 AMP589806:AMP589816 AWL589806:AWL589816 BGH589806:BGH589816 BQD589806:BQD589816 BZZ589806:BZZ589816 CJV589806:CJV589816 CTR589806:CTR589816 DDN589806:DDN589816 DNJ589806:DNJ589816 DXF589806:DXF589816 EHB589806:EHB589816 EQX589806:EQX589816 FAT589806:FAT589816 FKP589806:FKP589816 FUL589806:FUL589816 GEH589806:GEH589816 GOD589806:GOD589816 GXZ589806:GXZ589816 HHV589806:HHV589816 HRR589806:HRR589816 IBN589806:IBN589816 ILJ589806:ILJ589816 IVF589806:IVF589816 JFB589806:JFB589816 JOX589806:JOX589816 JYT589806:JYT589816 KIP589806:KIP589816 KSL589806:KSL589816 LCH589806:LCH589816 LMD589806:LMD589816 LVZ589806:LVZ589816 MFV589806:MFV589816 MPR589806:MPR589816 MZN589806:MZN589816 NJJ589806:NJJ589816 NTF589806:NTF589816 ODB589806:ODB589816 OMX589806:OMX589816 OWT589806:OWT589816 PGP589806:PGP589816 PQL589806:PQL589816 QAH589806:QAH589816 QKD589806:QKD589816 QTZ589806:QTZ589816 RDV589806:RDV589816 RNR589806:RNR589816 RXN589806:RXN589816 SHJ589806:SHJ589816 SRF589806:SRF589816 TBB589806:TBB589816 TKX589806:TKX589816 TUT589806:TUT589816 UEP589806:UEP589816 UOL589806:UOL589816 UYH589806:UYH589816 VID589806:VID589816 VRZ589806:VRZ589816 WBV589806:WBV589816 WLR589806:WLR589816 WVN589806:WVN589816 JB655342:JB655352 SX655342:SX655352 ACT655342:ACT655352 AMP655342:AMP655352 AWL655342:AWL655352 BGH655342:BGH655352 BQD655342:BQD655352 BZZ655342:BZZ655352 CJV655342:CJV655352 CTR655342:CTR655352 DDN655342:DDN655352 DNJ655342:DNJ655352 DXF655342:DXF655352 EHB655342:EHB655352 EQX655342:EQX655352 FAT655342:FAT655352 FKP655342:FKP655352 FUL655342:FUL655352 GEH655342:GEH655352 GOD655342:GOD655352 GXZ655342:GXZ655352 HHV655342:HHV655352 HRR655342:HRR655352 IBN655342:IBN655352 ILJ655342:ILJ655352 IVF655342:IVF655352 JFB655342:JFB655352 JOX655342:JOX655352 JYT655342:JYT655352 KIP655342:KIP655352 KSL655342:KSL655352 LCH655342:LCH655352 LMD655342:LMD655352 LVZ655342:LVZ655352 MFV655342:MFV655352 MPR655342:MPR655352 MZN655342:MZN655352 NJJ655342:NJJ655352 NTF655342:NTF655352 ODB655342:ODB655352 OMX655342:OMX655352 OWT655342:OWT655352 PGP655342:PGP655352 PQL655342:PQL655352 QAH655342:QAH655352 QKD655342:QKD655352 QTZ655342:QTZ655352 RDV655342:RDV655352 RNR655342:RNR655352 RXN655342:RXN655352 SHJ655342:SHJ655352 SRF655342:SRF655352 TBB655342:TBB655352 TKX655342:TKX655352 TUT655342:TUT655352 UEP655342:UEP655352 UOL655342:UOL655352 UYH655342:UYH655352 VID655342:VID655352 VRZ655342:VRZ655352 WBV655342:WBV655352 WLR655342:WLR655352 WVN655342:WVN655352 JB720878:JB720888 SX720878:SX720888 ACT720878:ACT720888 AMP720878:AMP720888 AWL720878:AWL720888 BGH720878:BGH720888 BQD720878:BQD720888 BZZ720878:BZZ720888 CJV720878:CJV720888 CTR720878:CTR720888 DDN720878:DDN720888 DNJ720878:DNJ720888 DXF720878:DXF720888 EHB720878:EHB720888 EQX720878:EQX720888 FAT720878:FAT720888 FKP720878:FKP720888 FUL720878:FUL720888 GEH720878:GEH720888 GOD720878:GOD720888 GXZ720878:GXZ720888 HHV720878:HHV720888 HRR720878:HRR720888 IBN720878:IBN720888 ILJ720878:ILJ720888 IVF720878:IVF720888 JFB720878:JFB720888 JOX720878:JOX720888 JYT720878:JYT720888 KIP720878:KIP720888 KSL720878:KSL720888 LCH720878:LCH720888 LMD720878:LMD720888 LVZ720878:LVZ720888 MFV720878:MFV720888 MPR720878:MPR720888 MZN720878:MZN720888 NJJ720878:NJJ720888 NTF720878:NTF720888 ODB720878:ODB720888 OMX720878:OMX720888 OWT720878:OWT720888 PGP720878:PGP720888 PQL720878:PQL720888 QAH720878:QAH720888 QKD720878:QKD720888 QTZ720878:QTZ720888 RDV720878:RDV720888 RNR720878:RNR720888 RXN720878:RXN720888 SHJ720878:SHJ720888 SRF720878:SRF720888 TBB720878:TBB720888 TKX720878:TKX720888 TUT720878:TUT720888 UEP720878:UEP720888 UOL720878:UOL720888 UYH720878:UYH720888 VID720878:VID720888 VRZ720878:VRZ720888 WBV720878:WBV720888 WLR720878:WLR720888 WVN720878:WVN720888 JB786414:JB786424 SX786414:SX786424 ACT786414:ACT786424 AMP786414:AMP786424 AWL786414:AWL786424 BGH786414:BGH786424 BQD786414:BQD786424 BZZ786414:BZZ786424 CJV786414:CJV786424 CTR786414:CTR786424 DDN786414:DDN786424 DNJ786414:DNJ786424 DXF786414:DXF786424 EHB786414:EHB786424 EQX786414:EQX786424 FAT786414:FAT786424 FKP786414:FKP786424 FUL786414:FUL786424 GEH786414:GEH786424 GOD786414:GOD786424 GXZ786414:GXZ786424 HHV786414:HHV786424 HRR786414:HRR786424 IBN786414:IBN786424 ILJ786414:ILJ786424 IVF786414:IVF786424 JFB786414:JFB786424 JOX786414:JOX786424 JYT786414:JYT786424 KIP786414:KIP786424 KSL786414:KSL786424 LCH786414:LCH786424 LMD786414:LMD786424 LVZ786414:LVZ786424 MFV786414:MFV786424 MPR786414:MPR786424 MZN786414:MZN786424 NJJ786414:NJJ786424 NTF786414:NTF786424 ODB786414:ODB786424 OMX786414:OMX786424 OWT786414:OWT786424 PGP786414:PGP786424 PQL786414:PQL786424 QAH786414:QAH786424 QKD786414:QKD786424 QTZ786414:QTZ786424 RDV786414:RDV786424 RNR786414:RNR786424 RXN786414:RXN786424 SHJ786414:SHJ786424 SRF786414:SRF786424 TBB786414:TBB786424 TKX786414:TKX786424 TUT786414:TUT786424 UEP786414:UEP786424 UOL786414:UOL786424 UYH786414:UYH786424 VID786414:VID786424 VRZ786414:VRZ786424 WBV786414:WBV786424 WLR786414:WLR786424 WVN786414:WVN786424 JB851950:JB851960 SX851950:SX851960 ACT851950:ACT851960 AMP851950:AMP851960 AWL851950:AWL851960 BGH851950:BGH851960 BQD851950:BQD851960 BZZ851950:BZZ851960 CJV851950:CJV851960 CTR851950:CTR851960 DDN851950:DDN851960 DNJ851950:DNJ851960 DXF851950:DXF851960 EHB851950:EHB851960 EQX851950:EQX851960 FAT851950:FAT851960 FKP851950:FKP851960 FUL851950:FUL851960 GEH851950:GEH851960 GOD851950:GOD851960 GXZ851950:GXZ851960 HHV851950:HHV851960 HRR851950:HRR851960 IBN851950:IBN851960 ILJ851950:ILJ851960 IVF851950:IVF851960 JFB851950:JFB851960 JOX851950:JOX851960 JYT851950:JYT851960 KIP851950:KIP851960 KSL851950:KSL851960 LCH851950:LCH851960 LMD851950:LMD851960 LVZ851950:LVZ851960 MFV851950:MFV851960 MPR851950:MPR851960 MZN851950:MZN851960 NJJ851950:NJJ851960 NTF851950:NTF851960 ODB851950:ODB851960 OMX851950:OMX851960 OWT851950:OWT851960 PGP851950:PGP851960 PQL851950:PQL851960 QAH851950:QAH851960 QKD851950:QKD851960 QTZ851950:QTZ851960 RDV851950:RDV851960 RNR851950:RNR851960 RXN851950:RXN851960 SHJ851950:SHJ851960 SRF851950:SRF851960 TBB851950:TBB851960 TKX851950:TKX851960 TUT851950:TUT851960 UEP851950:UEP851960 UOL851950:UOL851960 UYH851950:UYH851960 VID851950:VID851960 VRZ851950:VRZ851960 WBV851950:WBV851960 WLR851950:WLR851960 WVN851950:WVN851960 JB917486:JB917496 SX917486:SX917496 ACT917486:ACT917496 AMP917486:AMP917496 AWL917486:AWL917496 BGH917486:BGH917496 BQD917486:BQD917496 BZZ917486:BZZ917496 CJV917486:CJV917496 CTR917486:CTR917496 DDN917486:DDN917496 DNJ917486:DNJ917496 DXF917486:DXF917496 EHB917486:EHB917496 EQX917486:EQX917496 FAT917486:FAT917496 FKP917486:FKP917496 FUL917486:FUL917496 GEH917486:GEH917496 GOD917486:GOD917496 GXZ917486:GXZ917496 HHV917486:HHV917496 HRR917486:HRR917496 IBN917486:IBN917496 ILJ917486:ILJ917496 IVF917486:IVF917496 JFB917486:JFB917496 JOX917486:JOX917496 JYT917486:JYT917496 KIP917486:KIP917496 KSL917486:KSL917496 LCH917486:LCH917496 LMD917486:LMD917496 LVZ917486:LVZ917496 MFV917486:MFV917496 MPR917486:MPR917496 MZN917486:MZN917496 NJJ917486:NJJ917496 NTF917486:NTF917496 ODB917486:ODB917496 OMX917486:OMX917496 OWT917486:OWT917496 PGP917486:PGP917496 PQL917486:PQL917496 QAH917486:QAH917496 QKD917486:QKD917496 QTZ917486:QTZ917496 RDV917486:RDV917496 RNR917486:RNR917496 RXN917486:RXN917496 SHJ917486:SHJ917496 SRF917486:SRF917496 TBB917486:TBB917496 TKX917486:TKX917496 TUT917486:TUT917496 UEP917486:UEP917496 UOL917486:UOL917496 UYH917486:UYH917496 VID917486:VID917496 VRZ917486:VRZ917496 WBV917486:WBV917496 WLR917486:WLR917496 WVN917486:WVN917496 JB983022:JB983032 SX983022:SX983032 ACT983022:ACT983032 AMP983022:AMP983032 AWL983022:AWL983032 BGH983022:BGH983032 BQD983022:BQD983032 BZZ983022:BZZ983032 CJV983022:CJV983032 CTR983022:CTR983032 DDN983022:DDN983032 DNJ983022:DNJ983032 DXF983022:DXF983032 EHB983022:EHB983032 EQX983022:EQX983032 FAT983022:FAT983032 FKP983022:FKP983032 FUL983022:FUL983032 GEH983022:GEH983032 GOD983022:GOD983032 GXZ983022:GXZ983032 HHV983022:HHV983032 HRR983022:HRR983032 IBN983022:IBN983032 ILJ983022:ILJ983032 IVF983022:IVF983032 JFB983022:JFB983032 JOX983022:JOX983032 JYT983022:JYT983032 KIP983022:KIP983032 KSL983022:KSL983032 LCH983022:LCH983032 LMD983022:LMD983032 LVZ983022:LVZ983032 MFV983022:MFV983032 MPR983022:MPR983032 MZN983022:MZN983032 NJJ983022:NJJ983032 NTF983022:NTF983032 ODB983022:ODB983032 OMX983022:OMX983032 OWT983022:OWT983032 PGP983022:PGP983032 PQL983022:PQL983032 QAH983022:QAH983032 QKD983022:QKD983032 QTZ983022:QTZ983032 RDV983022:RDV983032 RNR983022:RNR983032 RXN983022:RXN983032 SHJ983022:SHJ983032 SRF983022:SRF983032 TBB983022:TBB983032 TKX983022:TKX983032 TUT983022:TUT983032 UEP983022:UEP983032 UOL983022:UOL983032 UYH983022:UYH983032 VID983022:VID983032 VRZ983022:VRZ983032 WBV983022:WBV983032 WLR983022:WLR983032" xr:uid="{27FD365B-4917-4BF6-A113-D162486FD74B}">
      <formula1>"0% IVA,12% IVA,No Objeto IVA,EXENTO"</formula1>
    </dataValidation>
    <dataValidation type="list" allowBlank="1" showInputMessage="1" showErrorMessage="1" sqref="JB65529:JB131051 SX65529:SX131051 ACT65529:ACT131051 AMP65529:AMP131051 AWL65529:AWL131051 BGH65529:BGH131051 BQD65529:BQD131051 BZZ65529:BZZ131051 CJV65529:CJV131051 CTR65529:CTR131051 DDN65529:DDN131051 DNJ65529:DNJ131051 DXF65529:DXF131051 EHB65529:EHB131051 EQX65529:EQX131051 FAT65529:FAT131051 FKP65529:FKP131051 FUL65529:FUL131051 GEH65529:GEH131051 GOD65529:GOD131051 GXZ65529:GXZ131051 HHV65529:HHV131051 HRR65529:HRR131051 IBN65529:IBN131051 ILJ65529:ILJ131051 IVF65529:IVF131051 JFB65529:JFB131051 JOX65529:JOX131051 JYT65529:JYT131051 KIP65529:KIP131051 KSL65529:KSL131051 LCH65529:LCH131051 LMD65529:LMD131051 LVZ65529:LVZ131051 MFV65529:MFV131051 MPR65529:MPR131051 MZN65529:MZN131051 NJJ65529:NJJ131051 NTF65529:NTF131051 ODB65529:ODB131051 OMX65529:OMX131051 OWT65529:OWT131051 PGP65529:PGP131051 PQL65529:PQL131051 QAH65529:QAH131051 QKD65529:QKD131051 QTZ65529:QTZ131051 RDV65529:RDV131051 RNR65529:RNR131051 RXN65529:RXN131051 SHJ65529:SHJ131051 SRF65529:SRF131051 TBB65529:TBB131051 TKX65529:TKX131051 TUT65529:TUT131051 UEP65529:UEP131051 UOL65529:UOL131051 UYH65529:UYH131051 VID65529:VID131051 VRZ65529:VRZ131051 WBV65529:WBV131051 WLR65529:WLR131051 WVN65529:WVN131051 JB131065:JB196587 SX131065:SX196587 ACT131065:ACT196587 AMP131065:AMP196587 AWL131065:AWL196587 BGH131065:BGH196587 BQD131065:BQD196587 BZZ131065:BZZ196587 CJV131065:CJV196587 CTR131065:CTR196587 DDN131065:DDN196587 DNJ131065:DNJ196587 DXF131065:DXF196587 EHB131065:EHB196587 EQX131065:EQX196587 FAT131065:FAT196587 FKP131065:FKP196587 FUL131065:FUL196587 GEH131065:GEH196587 GOD131065:GOD196587 GXZ131065:GXZ196587 HHV131065:HHV196587 HRR131065:HRR196587 IBN131065:IBN196587 ILJ131065:ILJ196587 IVF131065:IVF196587 JFB131065:JFB196587 JOX131065:JOX196587 JYT131065:JYT196587 KIP131065:KIP196587 KSL131065:KSL196587 LCH131065:LCH196587 LMD131065:LMD196587 LVZ131065:LVZ196587 MFV131065:MFV196587 MPR131065:MPR196587 MZN131065:MZN196587 NJJ131065:NJJ196587 NTF131065:NTF196587 ODB131065:ODB196587 OMX131065:OMX196587 OWT131065:OWT196587 PGP131065:PGP196587 PQL131065:PQL196587 QAH131065:QAH196587 QKD131065:QKD196587 QTZ131065:QTZ196587 RDV131065:RDV196587 RNR131065:RNR196587 RXN131065:RXN196587 SHJ131065:SHJ196587 SRF131065:SRF196587 TBB131065:TBB196587 TKX131065:TKX196587 TUT131065:TUT196587 UEP131065:UEP196587 UOL131065:UOL196587 UYH131065:UYH196587 VID131065:VID196587 VRZ131065:VRZ196587 WBV131065:WBV196587 WLR131065:WLR196587 WVN131065:WVN196587 JB196601:JB262123 SX196601:SX262123 ACT196601:ACT262123 AMP196601:AMP262123 AWL196601:AWL262123 BGH196601:BGH262123 BQD196601:BQD262123 BZZ196601:BZZ262123 CJV196601:CJV262123 CTR196601:CTR262123 DDN196601:DDN262123 DNJ196601:DNJ262123 DXF196601:DXF262123 EHB196601:EHB262123 EQX196601:EQX262123 FAT196601:FAT262123 FKP196601:FKP262123 FUL196601:FUL262123 GEH196601:GEH262123 GOD196601:GOD262123 GXZ196601:GXZ262123 HHV196601:HHV262123 HRR196601:HRR262123 IBN196601:IBN262123 ILJ196601:ILJ262123 IVF196601:IVF262123 JFB196601:JFB262123 JOX196601:JOX262123 JYT196601:JYT262123 KIP196601:KIP262123 KSL196601:KSL262123 LCH196601:LCH262123 LMD196601:LMD262123 LVZ196601:LVZ262123 MFV196601:MFV262123 MPR196601:MPR262123 MZN196601:MZN262123 NJJ196601:NJJ262123 NTF196601:NTF262123 ODB196601:ODB262123 OMX196601:OMX262123 OWT196601:OWT262123 PGP196601:PGP262123 PQL196601:PQL262123 QAH196601:QAH262123 QKD196601:QKD262123 QTZ196601:QTZ262123 RDV196601:RDV262123 RNR196601:RNR262123 RXN196601:RXN262123 SHJ196601:SHJ262123 SRF196601:SRF262123 TBB196601:TBB262123 TKX196601:TKX262123 TUT196601:TUT262123 UEP196601:UEP262123 UOL196601:UOL262123 UYH196601:UYH262123 VID196601:VID262123 VRZ196601:VRZ262123 WBV196601:WBV262123 WLR196601:WLR262123 WVN196601:WVN262123 JB262137:JB327659 SX262137:SX327659 ACT262137:ACT327659 AMP262137:AMP327659 AWL262137:AWL327659 BGH262137:BGH327659 BQD262137:BQD327659 BZZ262137:BZZ327659 CJV262137:CJV327659 CTR262137:CTR327659 DDN262137:DDN327659 DNJ262137:DNJ327659 DXF262137:DXF327659 EHB262137:EHB327659 EQX262137:EQX327659 FAT262137:FAT327659 FKP262137:FKP327659 FUL262137:FUL327659 GEH262137:GEH327659 GOD262137:GOD327659 GXZ262137:GXZ327659 HHV262137:HHV327659 HRR262137:HRR327659 IBN262137:IBN327659 ILJ262137:ILJ327659 IVF262137:IVF327659 JFB262137:JFB327659 JOX262137:JOX327659 JYT262137:JYT327659 KIP262137:KIP327659 KSL262137:KSL327659 LCH262137:LCH327659 LMD262137:LMD327659 LVZ262137:LVZ327659 MFV262137:MFV327659 MPR262137:MPR327659 MZN262137:MZN327659 NJJ262137:NJJ327659 NTF262137:NTF327659 ODB262137:ODB327659 OMX262137:OMX327659 OWT262137:OWT327659 PGP262137:PGP327659 PQL262137:PQL327659 QAH262137:QAH327659 QKD262137:QKD327659 QTZ262137:QTZ327659 RDV262137:RDV327659 RNR262137:RNR327659 RXN262137:RXN327659 SHJ262137:SHJ327659 SRF262137:SRF327659 TBB262137:TBB327659 TKX262137:TKX327659 TUT262137:TUT327659 UEP262137:UEP327659 UOL262137:UOL327659 UYH262137:UYH327659 VID262137:VID327659 VRZ262137:VRZ327659 WBV262137:WBV327659 WLR262137:WLR327659 WVN262137:WVN327659 JB327673:JB393195 SX327673:SX393195 ACT327673:ACT393195 AMP327673:AMP393195 AWL327673:AWL393195 BGH327673:BGH393195 BQD327673:BQD393195 BZZ327673:BZZ393195 CJV327673:CJV393195 CTR327673:CTR393195 DDN327673:DDN393195 DNJ327673:DNJ393195 DXF327673:DXF393195 EHB327673:EHB393195 EQX327673:EQX393195 FAT327673:FAT393195 FKP327673:FKP393195 FUL327673:FUL393195 GEH327673:GEH393195 GOD327673:GOD393195 GXZ327673:GXZ393195 HHV327673:HHV393195 HRR327673:HRR393195 IBN327673:IBN393195 ILJ327673:ILJ393195 IVF327673:IVF393195 JFB327673:JFB393195 JOX327673:JOX393195 JYT327673:JYT393195 KIP327673:KIP393195 KSL327673:KSL393195 LCH327673:LCH393195 LMD327673:LMD393195 LVZ327673:LVZ393195 MFV327673:MFV393195 MPR327673:MPR393195 MZN327673:MZN393195 NJJ327673:NJJ393195 NTF327673:NTF393195 ODB327673:ODB393195 OMX327673:OMX393195 OWT327673:OWT393195 PGP327673:PGP393195 PQL327673:PQL393195 QAH327673:QAH393195 QKD327673:QKD393195 QTZ327673:QTZ393195 RDV327673:RDV393195 RNR327673:RNR393195 RXN327673:RXN393195 SHJ327673:SHJ393195 SRF327673:SRF393195 TBB327673:TBB393195 TKX327673:TKX393195 TUT327673:TUT393195 UEP327673:UEP393195 UOL327673:UOL393195 UYH327673:UYH393195 VID327673:VID393195 VRZ327673:VRZ393195 WBV327673:WBV393195 WLR327673:WLR393195 WVN327673:WVN393195 JB393209:JB458731 SX393209:SX458731 ACT393209:ACT458731 AMP393209:AMP458731 AWL393209:AWL458731 BGH393209:BGH458731 BQD393209:BQD458731 BZZ393209:BZZ458731 CJV393209:CJV458731 CTR393209:CTR458731 DDN393209:DDN458731 DNJ393209:DNJ458731 DXF393209:DXF458731 EHB393209:EHB458731 EQX393209:EQX458731 FAT393209:FAT458731 FKP393209:FKP458731 FUL393209:FUL458731 GEH393209:GEH458731 GOD393209:GOD458731 GXZ393209:GXZ458731 HHV393209:HHV458731 HRR393209:HRR458731 IBN393209:IBN458731 ILJ393209:ILJ458731 IVF393209:IVF458731 JFB393209:JFB458731 JOX393209:JOX458731 JYT393209:JYT458731 KIP393209:KIP458731 KSL393209:KSL458731 LCH393209:LCH458731 LMD393209:LMD458731 LVZ393209:LVZ458731 MFV393209:MFV458731 MPR393209:MPR458731 MZN393209:MZN458731 NJJ393209:NJJ458731 NTF393209:NTF458731 ODB393209:ODB458731 OMX393209:OMX458731 OWT393209:OWT458731 PGP393209:PGP458731 PQL393209:PQL458731 QAH393209:QAH458731 QKD393209:QKD458731 QTZ393209:QTZ458731 RDV393209:RDV458731 RNR393209:RNR458731 RXN393209:RXN458731 SHJ393209:SHJ458731 SRF393209:SRF458731 TBB393209:TBB458731 TKX393209:TKX458731 TUT393209:TUT458731 UEP393209:UEP458731 UOL393209:UOL458731 UYH393209:UYH458731 VID393209:VID458731 VRZ393209:VRZ458731 WBV393209:WBV458731 WLR393209:WLR458731 WVN393209:WVN458731 JB458745:JB524267 SX458745:SX524267 ACT458745:ACT524267 AMP458745:AMP524267 AWL458745:AWL524267 BGH458745:BGH524267 BQD458745:BQD524267 BZZ458745:BZZ524267 CJV458745:CJV524267 CTR458745:CTR524267 DDN458745:DDN524267 DNJ458745:DNJ524267 DXF458745:DXF524267 EHB458745:EHB524267 EQX458745:EQX524267 FAT458745:FAT524267 FKP458745:FKP524267 FUL458745:FUL524267 GEH458745:GEH524267 GOD458745:GOD524267 GXZ458745:GXZ524267 HHV458745:HHV524267 HRR458745:HRR524267 IBN458745:IBN524267 ILJ458745:ILJ524267 IVF458745:IVF524267 JFB458745:JFB524267 JOX458745:JOX524267 JYT458745:JYT524267 KIP458745:KIP524267 KSL458745:KSL524267 LCH458745:LCH524267 LMD458745:LMD524267 LVZ458745:LVZ524267 MFV458745:MFV524267 MPR458745:MPR524267 MZN458745:MZN524267 NJJ458745:NJJ524267 NTF458745:NTF524267 ODB458745:ODB524267 OMX458745:OMX524267 OWT458745:OWT524267 PGP458745:PGP524267 PQL458745:PQL524267 QAH458745:QAH524267 QKD458745:QKD524267 QTZ458745:QTZ524267 RDV458745:RDV524267 RNR458745:RNR524267 RXN458745:RXN524267 SHJ458745:SHJ524267 SRF458745:SRF524267 TBB458745:TBB524267 TKX458745:TKX524267 TUT458745:TUT524267 UEP458745:UEP524267 UOL458745:UOL524267 UYH458745:UYH524267 VID458745:VID524267 VRZ458745:VRZ524267 WBV458745:WBV524267 WLR458745:WLR524267 WVN458745:WVN524267 JB524281:JB589803 SX524281:SX589803 ACT524281:ACT589803 AMP524281:AMP589803 AWL524281:AWL589803 BGH524281:BGH589803 BQD524281:BQD589803 BZZ524281:BZZ589803 CJV524281:CJV589803 CTR524281:CTR589803 DDN524281:DDN589803 DNJ524281:DNJ589803 DXF524281:DXF589803 EHB524281:EHB589803 EQX524281:EQX589803 FAT524281:FAT589803 FKP524281:FKP589803 FUL524281:FUL589803 GEH524281:GEH589803 GOD524281:GOD589803 GXZ524281:GXZ589803 HHV524281:HHV589803 HRR524281:HRR589803 IBN524281:IBN589803 ILJ524281:ILJ589803 IVF524281:IVF589803 JFB524281:JFB589803 JOX524281:JOX589803 JYT524281:JYT589803 KIP524281:KIP589803 KSL524281:KSL589803 LCH524281:LCH589803 LMD524281:LMD589803 LVZ524281:LVZ589803 MFV524281:MFV589803 MPR524281:MPR589803 MZN524281:MZN589803 NJJ524281:NJJ589803 NTF524281:NTF589803 ODB524281:ODB589803 OMX524281:OMX589803 OWT524281:OWT589803 PGP524281:PGP589803 PQL524281:PQL589803 QAH524281:QAH589803 QKD524281:QKD589803 QTZ524281:QTZ589803 RDV524281:RDV589803 RNR524281:RNR589803 RXN524281:RXN589803 SHJ524281:SHJ589803 SRF524281:SRF589803 TBB524281:TBB589803 TKX524281:TKX589803 TUT524281:TUT589803 UEP524281:UEP589803 UOL524281:UOL589803 UYH524281:UYH589803 VID524281:VID589803 VRZ524281:VRZ589803 WBV524281:WBV589803 WLR524281:WLR589803 WVN524281:WVN589803 JB589817:JB655339 SX589817:SX655339 ACT589817:ACT655339 AMP589817:AMP655339 AWL589817:AWL655339 BGH589817:BGH655339 BQD589817:BQD655339 BZZ589817:BZZ655339 CJV589817:CJV655339 CTR589817:CTR655339 DDN589817:DDN655339 DNJ589817:DNJ655339 DXF589817:DXF655339 EHB589817:EHB655339 EQX589817:EQX655339 FAT589817:FAT655339 FKP589817:FKP655339 FUL589817:FUL655339 GEH589817:GEH655339 GOD589817:GOD655339 GXZ589817:GXZ655339 HHV589817:HHV655339 HRR589817:HRR655339 IBN589817:IBN655339 ILJ589817:ILJ655339 IVF589817:IVF655339 JFB589817:JFB655339 JOX589817:JOX655339 JYT589817:JYT655339 KIP589817:KIP655339 KSL589817:KSL655339 LCH589817:LCH655339 LMD589817:LMD655339 LVZ589817:LVZ655339 MFV589817:MFV655339 MPR589817:MPR655339 MZN589817:MZN655339 NJJ589817:NJJ655339 NTF589817:NTF655339 ODB589817:ODB655339 OMX589817:OMX655339 OWT589817:OWT655339 PGP589817:PGP655339 PQL589817:PQL655339 QAH589817:QAH655339 QKD589817:QKD655339 QTZ589817:QTZ655339 RDV589817:RDV655339 RNR589817:RNR655339 RXN589817:RXN655339 SHJ589817:SHJ655339 SRF589817:SRF655339 TBB589817:TBB655339 TKX589817:TKX655339 TUT589817:TUT655339 UEP589817:UEP655339 UOL589817:UOL655339 UYH589817:UYH655339 VID589817:VID655339 VRZ589817:VRZ655339 WBV589817:WBV655339 WLR589817:WLR655339 WVN589817:WVN655339 JB655353:JB720875 SX655353:SX720875 ACT655353:ACT720875 AMP655353:AMP720875 AWL655353:AWL720875 BGH655353:BGH720875 BQD655353:BQD720875 BZZ655353:BZZ720875 CJV655353:CJV720875 CTR655353:CTR720875 DDN655353:DDN720875 DNJ655353:DNJ720875 DXF655353:DXF720875 EHB655353:EHB720875 EQX655353:EQX720875 FAT655353:FAT720875 FKP655353:FKP720875 FUL655353:FUL720875 GEH655353:GEH720875 GOD655353:GOD720875 GXZ655353:GXZ720875 HHV655353:HHV720875 HRR655353:HRR720875 IBN655353:IBN720875 ILJ655353:ILJ720875 IVF655353:IVF720875 JFB655353:JFB720875 JOX655353:JOX720875 JYT655353:JYT720875 KIP655353:KIP720875 KSL655353:KSL720875 LCH655353:LCH720875 LMD655353:LMD720875 LVZ655353:LVZ720875 MFV655353:MFV720875 MPR655353:MPR720875 MZN655353:MZN720875 NJJ655353:NJJ720875 NTF655353:NTF720875 ODB655353:ODB720875 OMX655353:OMX720875 OWT655353:OWT720875 PGP655353:PGP720875 PQL655353:PQL720875 QAH655353:QAH720875 QKD655353:QKD720875 QTZ655353:QTZ720875 RDV655353:RDV720875 RNR655353:RNR720875 RXN655353:RXN720875 SHJ655353:SHJ720875 SRF655353:SRF720875 TBB655353:TBB720875 TKX655353:TKX720875 TUT655353:TUT720875 UEP655353:UEP720875 UOL655353:UOL720875 UYH655353:UYH720875 VID655353:VID720875 VRZ655353:VRZ720875 WBV655353:WBV720875 WLR655353:WLR720875 WVN655353:WVN720875 JB720889:JB786411 SX720889:SX786411 ACT720889:ACT786411 AMP720889:AMP786411 AWL720889:AWL786411 BGH720889:BGH786411 BQD720889:BQD786411 BZZ720889:BZZ786411 CJV720889:CJV786411 CTR720889:CTR786411 DDN720889:DDN786411 DNJ720889:DNJ786411 DXF720889:DXF786411 EHB720889:EHB786411 EQX720889:EQX786411 FAT720889:FAT786411 FKP720889:FKP786411 FUL720889:FUL786411 GEH720889:GEH786411 GOD720889:GOD786411 GXZ720889:GXZ786411 HHV720889:HHV786411 HRR720889:HRR786411 IBN720889:IBN786411 ILJ720889:ILJ786411 IVF720889:IVF786411 JFB720889:JFB786411 JOX720889:JOX786411 JYT720889:JYT786411 KIP720889:KIP786411 KSL720889:KSL786411 LCH720889:LCH786411 LMD720889:LMD786411 LVZ720889:LVZ786411 MFV720889:MFV786411 MPR720889:MPR786411 MZN720889:MZN786411 NJJ720889:NJJ786411 NTF720889:NTF786411 ODB720889:ODB786411 OMX720889:OMX786411 OWT720889:OWT786411 PGP720889:PGP786411 PQL720889:PQL786411 QAH720889:QAH786411 QKD720889:QKD786411 QTZ720889:QTZ786411 RDV720889:RDV786411 RNR720889:RNR786411 RXN720889:RXN786411 SHJ720889:SHJ786411 SRF720889:SRF786411 TBB720889:TBB786411 TKX720889:TKX786411 TUT720889:TUT786411 UEP720889:UEP786411 UOL720889:UOL786411 UYH720889:UYH786411 VID720889:VID786411 VRZ720889:VRZ786411 WBV720889:WBV786411 WLR720889:WLR786411 WVN720889:WVN786411 JB786425:JB851947 SX786425:SX851947 ACT786425:ACT851947 AMP786425:AMP851947 AWL786425:AWL851947 BGH786425:BGH851947 BQD786425:BQD851947 BZZ786425:BZZ851947 CJV786425:CJV851947 CTR786425:CTR851947 DDN786425:DDN851947 DNJ786425:DNJ851947 DXF786425:DXF851947 EHB786425:EHB851947 EQX786425:EQX851947 FAT786425:FAT851947 FKP786425:FKP851947 FUL786425:FUL851947 GEH786425:GEH851947 GOD786425:GOD851947 GXZ786425:GXZ851947 HHV786425:HHV851947 HRR786425:HRR851947 IBN786425:IBN851947 ILJ786425:ILJ851947 IVF786425:IVF851947 JFB786425:JFB851947 JOX786425:JOX851947 JYT786425:JYT851947 KIP786425:KIP851947 KSL786425:KSL851947 LCH786425:LCH851947 LMD786425:LMD851947 LVZ786425:LVZ851947 MFV786425:MFV851947 MPR786425:MPR851947 MZN786425:MZN851947 NJJ786425:NJJ851947 NTF786425:NTF851947 ODB786425:ODB851947 OMX786425:OMX851947 OWT786425:OWT851947 PGP786425:PGP851947 PQL786425:PQL851947 QAH786425:QAH851947 QKD786425:QKD851947 QTZ786425:QTZ851947 RDV786425:RDV851947 RNR786425:RNR851947 RXN786425:RXN851947 SHJ786425:SHJ851947 SRF786425:SRF851947 TBB786425:TBB851947 TKX786425:TKX851947 TUT786425:TUT851947 UEP786425:UEP851947 UOL786425:UOL851947 UYH786425:UYH851947 VID786425:VID851947 VRZ786425:VRZ851947 WBV786425:WBV851947 WLR786425:WLR851947 WVN786425:WVN851947 JB851961:JB917483 SX851961:SX917483 ACT851961:ACT917483 AMP851961:AMP917483 AWL851961:AWL917483 BGH851961:BGH917483 BQD851961:BQD917483 BZZ851961:BZZ917483 CJV851961:CJV917483 CTR851961:CTR917483 DDN851961:DDN917483 DNJ851961:DNJ917483 DXF851961:DXF917483 EHB851961:EHB917483 EQX851961:EQX917483 FAT851961:FAT917483 FKP851961:FKP917483 FUL851961:FUL917483 GEH851961:GEH917483 GOD851961:GOD917483 GXZ851961:GXZ917483 HHV851961:HHV917483 HRR851961:HRR917483 IBN851961:IBN917483 ILJ851961:ILJ917483 IVF851961:IVF917483 JFB851961:JFB917483 JOX851961:JOX917483 JYT851961:JYT917483 KIP851961:KIP917483 KSL851961:KSL917483 LCH851961:LCH917483 LMD851961:LMD917483 LVZ851961:LVZ917483 MFV851961:MFV917483 MPR851961:MPR917483 MZN851961:MZN917483 NJJ851961:NJJ917483 NTF851961:NTF917483 ODB851961:ODB917483 OMX851961:OMX917483 OWT851961:OWT917483 PGP851961:PGP917483 PQL851961:PQL917483 QAH851961:QAH917483 QKD851961:QKD917483 QTZ851961:QTZ917483 RDV851961:RDV917483 RNR851961:RNR917483 RXN851961:RXN917483 SHJ851961:SHJ917483 SRF851961:SRF917483 TBB851961:TBB917483 TKX851961:TKX917483 TUT851961:TUT917483 UEP851961:UEP917483 UOL851961:UOL917483 UYH851961:UYH917483 VID851961:VID917483 VRZ851961:VRZ917483 WBV851961:WBV917483 WLR851961:WLR917483 WVN851961:WVN917483 JB917497:JB983019 SX917497:SX983019 ACT917497:ACT983019 AMP917497:AMP983019 AWL917497:AWL983019 BGH917497:BGH983019 BQD917497:BQD983019 BZZ917497:BZZ983019 CJV917497:CJV983019 CTR917497:CTR983019 DDN917497:DDN983019 DNJ917497:DNJ983019 DXF917497:DXF983019 EHB917497:EHB983019 EQX917497:EQX983019 FAT917497:FAT983019 FKP917497:FKP983019 FUL917497:FUL983019 GEH917497:GEH983019 GOD917497:GOD983019 GXZ917497:GXZ983019 HHV917497:HHV983019 HRR917497:HRR983019 IBN917497:IBN983019 ILJ917497:ILJ983019 IVF917497:IVF983019 JFB917497:JFB983019 JOX917497:JOX983019 JYT917497:JYT983019 KIP917497:KIP983019 KSL917497:KSL983019 LCH917497:LCH983019 LMD917497:LMD983019 LVZ917497:LVZ983019 MFV917497:MFV983019 MPR917497:MPR983019 MZN917497:MZN983019 NJJ917497:NJJ983019 NTF917497:NTF983019 ODB917497:ODB983019 OMX917497:OMX983019 OWT917497:OWT983019 PGP917497:PGP983019 PQL917497:PQL983019 QAH917497:QAH983019 QKD917497:QKD983019 QTZ917497:QTZ983019 RDV917497:RDV983019 RNR917497:RNR983019 RXN917497:RXN983019 SHJ917497:SHJ983019 SRF917497:SRF983019 TBB917497:TBB983019 TKX917497:TKX983019 TUT917497:TUT983019 UEP917497:UEP983019 UOL917497:UOL983019 UYH917497:UYH983019 VID917497:VID983019 VRZ917497:VRZ983019 WBV917497:WBV983019 WLR917497:WLR983019 WVN917497:WVN983019 WVN983033:WVN1048576 JB983033:JB1048576 SX983033:SX1048576 ACT983033:ACT1048576 AMP983033:AMP1048576 AWL983033:AWL1048576 BGH983033:BGH1048576 BQD983033:BQD1048576 BZZ983033:BZZ1048576 CJV983033:CJV1048576 CTR983033:CTR1048576 DDN983033:DDN1048576 DNJ983033:DNJ1048576 DXF983033:DXF1048576 EHB983033:EHB1048576 EQX983033:EQX1048576 FAT983033:FAT1048576 FKP983033:FKP1048576 FUL983033:FUL1048576 GEH983033:GEH1048576 GOD983033:GOD1048576 GXZ983033:GXZ1048576 HHV983033:HHV1048576 HRR983033:HRR1048576 IBN983033:IBN1048576 ILJ983033:ILJ1048576 IVF983033:IVF1048576 JFB983033:JFB1048576 JOX983033:JOX1048576 JYT983033:JYT1048576 KIP983033:KIP1048576 KSL983033:KSL1048576 LCH983033:LCH1048576 LMD983033:LMD1048576 LVZ983033:LVZ1048576 MFV983033:MFV1048576 MPR983033:MPR1048576 MZN983033:MZN1048576 NJJ983033:NJJ1048576 NTF983033:NTF1048576 ODB983033:ODB1048576 OMX983033:OMX1048576 OWT983033:OWT1048576 PGP983033:PGP1048576 PQL983033:PQL1048576 QAH983033:QAH1048576 QKD983033:QKD1048576 QTZ983033:QTZ1048576 RDV983033:RDV1048576 RNR983033:RNR1048576 RXN983033:RXN1048576 SHJ983033:SHJ1048576 SRF983033:SRF1048576 TBB983033:TBB1048576 TKX983033:TKX1048576 TUT983033:TUT1048576 UEP983033:UEP1048576 UOL983033:UOL1048576 UYH983033:UYH1048576 VID983033:VID1048576 VRZ983033:VRZ1048576 WBV983033:WBV1048576 WLR983033:WLR1048576 JB7:JB65515 SX7:SX65515 WVN7:WVN65515 WLR7:WLR65515 WBV7:WBV65515 VRZ7:VRZ65515 VID7:VID65515 UYH7:UYH65515 UOL7:UOL65515 UEP7:UEP65515 TUT7:TUT65515 TKX7:TKX65515 TBB7:TBB65515 SRF7:SRF65515 SHJ7:SHJ65515 RXN7:RXN65515 RNR7:RNR65515 RDV7:RDV65515 QTZ7:QTZ65515 QKD7:QKD65515 QAH7:QAH65515 PQL7:PQL65515 PGP7:PGP65515 OWT7:OWT65515 OMX7:OMX65515 ODB7:ODB65515 NTF7:NTF65515 NJJ7:NJJ65515 MZN7:MZN65515 MPR7:MPR65515 MFV7:MFV65515 LVZ7:LVZ65515 LMD7:LMD65515 LCH7:LCH65515 KSL7:KSL65515 KIP7:KIP65515 JYT7:JYT65515 JOX7:JOX65515 JFB7:JFB65515 IVF7:IVF65515 ILJ7:ILJ65515 IBN7:IBN65515 HRR7:HRR65515 HHV7:HHV65515 GXZ7:GXZ65515 GOD7:GOD65515 GEH7:GEH65515 FUL7:FUL65515 FKP7:FKP65515 FAT7:FAT65515 EQX7:EQX65515 EHB7:EHB65515 DXF7:DXF65515 DNJ7:DNJ65515 DDN7:DDN65515 CTR7:CTR65515 CJV7:CJV65515 BZZ7:BZZ65515 BQD7:BQD65515 BGH7:BGH65515 AWL7:AWL65515 AMP7:AMP65515 ACT7:ACT65515" xr:uid="{1FDBCFFD-9F13-4257-9ADA-C1537248D8C2}">
      <formula1>"0-Iva 0%,2-Iva 12%,6-No Objeto Impto."</formula1>
    </dataValidation>
  </dataValidations>
  <pageMargins left="0.75" right="0.75" top="0.39370078740157483" bottom="0.39370078740157483" header="0" footer="0"/>
  <pageSetup paperSize="9" scale="59" orientation="landscape"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1:EL9"/>
  <sheetViews>
    <sheetView showGridLines="0" tabSelected="1" zoomScaleNormal="100" workbookViewId="0">
      <pane xSplit="3" ySplit="6" topLeftCell="E7" activePane="bottomRight" state="frozen"/>
      <selection activeCell="A5" sqref="A5:A6"/>
      <selection pane="topRight" activeCell="A5" sqref="A5:A6"/>
      <selection pane="bottomLeft" activeCell="A5" sqref="A5:A6"/>
      <selection pane="bottomRight" activeCell="E7" sqref="E7"/>
    </sheetView>
  </sheetViews>
  <sheetFormatPr baseColWidth="10" defaultColWidth="10.81640625" defaultRowHeight="11.5" outlineLevelCol="1" x14ac:dyDescent="0.25"/>
  <cols>
    <col min="1" max="1" width="15" style="350" customWidth="1"/>
    <col min="2" max="2" width="9.453125" style="333" hidden="1" customWidth="1"/>
    <col min="3" max="3" width="21.54296875" style="350" customWidth="1"/>
    <col min="4" max="4" width="16.54296875" style="333" hidden="1" customWidth="1" outlineLevel="1"/>
    <col min="5" max="5" width="7.7265625" style="368" customWidth="1" collapsed="1"/>
    <col min="6" max="6" width="12.54296875" style="333" hidden="1" customWidth="1" outlineLevel="1"/>
    <col min="7" max="7" width="12" style="350" customWidth="1" collapsed="1"/>
    <col min="8" max="9" width="5.7265625" style="368" customWidth="1"/>
    <col min="10" max="10" width="9.81640625" style="350" customWidth="1"/>
    <col min="11" max="11" width="26.26953125" style="350" customWidth="1"/>
    <col min="12" max="13" width="11.54296875" style="352" customWidth="1"/>
    <col min="14" max="14" width="11.453125" style="333" hidden="1" customWidth="1" outlineLevel="1"/>
    <col min="15" max="16" width="6.1796875" style="368" hidden="1" customWidth="1" outlineLevel="1"/>
    <col min="17" max="17" width="11.453125" style="350" hidden="1" customWidth="1" outlineLevel="1"/>
    <col min="18" max="18" width="14.26953125" style="350" hidden="1" customWidth="1" outlineLevel="1"/>
    <col min="19" max="19" width="22.7265625" style="350" customWidth="1" collapsed="1"/>
    <col min="20" max="20" width="38.26953125" style="350" hidden="1" customWidth="1" outlineLevel="1"/>
    <col min="21" max="21" width="11.453125" style="353" customWidth="1" collapsed="1"/>
    <col min="22" max="22" width="11.453125" style="353" customWidth="1"/>
    <col min="23" max="23" width="12.453125" style="353" customWidth="1"/>
    <col min="24" max="24" width="12.1796875" style="353" customWidth="1"/>
    <col min="25" max="25" width="8.26953125" style="353" customWidth="1"/>
    <col min="26" max="26" width="9.453125" style="353" customWidth="1"/>
    <col min="27" max="27" width="12.1796875" style="353" hidden="1" customWidth="1" outlineLevel="1"/>
    <col min="28" max="28" width="8.26953125" style="353" hidden="1" customWidth="1" outlineLevel="1"/>
    <col min="29" max="29" width="9.453125" style="353" hidden="1" customWidth="1" outlineLevel="1"/>
    <col min="30" max="30" width="12.1796875" style="353" hidden="1" customWidth="1" outlineLevel="1"/>
    <col min="31" max="31" width="8.26953125" style="353" hidden="1" customWidth="1" outlineLevel="1"/>
    <col min="32" max="32" width="9.453125" style="353" hidden="1" customWidth="1" outlineLevel="1"/>
    <col min="33" max="33" width="11" style="353" customWidth="1" collapsed="1"/>
    <col min="34" max="35" width="11" style="353" hidden="1" customWidth="1" outlineLevel="1"/>
    <col min="36" max="36" width="11" style="353" customWidth="1" collapsed="1"/>
    <col min="37" max="37" width="12" style="353" customWidth="1"/>
    <col min="38" max="38" width="11" style="353" customWidth="1"/>
    <col min="39" max="39" width="1.26953125" style="333" customWidth="1"/>
    <col min="40" max="40" width="13.54296875" style="350" hidden="1" customWidth="1" outlineLevel="1"/>
    <col min="41" max="41" width="23.81640625" style="350" hidden="1" customWidth="1" outlineLevel="1"/>
    <col min="42" max="42" width="10.1796875" style="350" hidden="1" customWidth="1" outlineLevel="1"/>
    <col min="43" max="43" width="13.26953125" style="350" hidden="1" customWidth="1" outlineLevel="1"/>
    <col min="44" max="44" width="27.7265625" style="333" customWidth="1" collapsed="1"/>
    <col min="45" max="45" width="6.1796875" style="431" customWidth="1"/>
    <col min="46" max="46" width="11.54296875" style="353" customWidth="1"/>
    <col min="47" max="47" width="6.1796875" style="431" customWidth="1"/>
    <col min="48" max="48" width="11.54296875" style="353" customWidth="1"/>
    <col min="49" max="49" width="6.1796875" style="431" customWidth="1"/>
    <col min="50" max="50" width="11.54296875" style="353" customWidth="1"/>
    <col min="51" max="51" width="1.26953125" style="333" customWidth="1"/>
    <col min="52" max="52" width="14.26953125" style="350" customWidth="1"/>
    <col min="53" max="54" width="5.81640625" style="368" customWidth="1"/>
    <col min="55" max="55" width="10.81640625" style="350" customWidth="1"/>
    <col min="56" max="56" width="22" style="350" customWidth="1"/>
    <col min="57" max="57" width="12.26953125" style="584" customWidth="1"/>
    <col min="58" max="58" width="7" style="533" customWidth="1"/>
    <col min="59" max="59" width="11.81640625" style="353" customWidth="1"/>
    <col min="60" max="60" width="11" style="354" customWidth="1"/>
    <col min="61" max="61" width="9.54296875" style="353" customWidth="1"/>
    <col min="62" max="62" width="11.453125" style="352" hidden="1" customWidth="1" outlineLevel="1"/>
    <col min="63" max="63" width="11.453125" style="353" hidden="1" customWidth="1" outlineLevel="1"/>
    <col min="64" max="64" width="11.453125" style="333" hidden="1" customWidth="1" outlineLevel="1"/>
    <col min="65" max="66" width="11.453125" style="353" hidden="1" customWidth="1" outlineLevel="1"/>
    <col min="67" max="67" width="7" style="533" customWidth="1" collapsed="1"/>
    <col min="68" max="68" width="11" style="353" customWidth="1"/>
    <col min="69" max="69" width="11" style="354" customWidth="1"/>
    <col min="70" max="70" width="9.54296875" style="353" customWidth="1"/>
    <col min="71" max="71" width="11.453125" style="352" hidden="1" customWidth="1" outlineLevel="1"/>
    <col min="72" max="72" width="11.453125" style="353" hidden="1" customWidth="1" outlineLevel="1"/>
    <col min="73" max="75" width="11.453125" style="333" hidden="1" customWidth="1" outlineLevel="1"/>
    <col min="76" max="76" width="7" style="533" customWidth="1" collapsed="1"/>
    <col min="77" max="77" width="11.453125" style="353" customWidth="1"/>
    <col min="78" max="78" width="11.453125" style="354" customWidth="1"/>
    <col min="79" max="79" width="9.54296875" style="353" customWidth="1"/>
    <col min="80" max="80" width="1.26953125" style="333" customWidth="1"/>
    <col min="81" max="82" width="11.453125" style="353" hidden="1" customWidth="1" outlineLevel="1"/>
    <col min="83" max="83" width="11" style="353" customWidth="1" collapsed="1"/>
    <col min="84" max="84" width="11.453125" style="353" hidden="1" customWidth="1" outlineLevel="1"/>
    <col min="85" max="85" width="11" style="353" customWidth="1" collapsed="1"/>
    <col min="86" max="86" width="11" style="353" customWidth="1"/>
    <col min="87" max="88" width="11" style="353" hidden="1" customWidth="1" outlineLevel="1"/>
    <col min="89" max="89" width="11" style="353" customWidth="1" collapsed="1"/>
    <col min="90" max="90" width="23.81640625" style="350" hidden="1" customWidth="1" outlineLevel="1"/>
    <col min="91" max="91" width="10.1796875" style="350" hidden="1" customWidth="1" outlineLevel="1"/>
    <col min="92" max="92" width="13.26953125" style="350" hidden="1" customWidth="1" outlineLevel="1"/>
    <col min="93" max="93" width="2" style="333" customWidth="1" collapsed="1"/>
    <col min="94" max="94" width="20.81640625" style="333" customWidth="1"/>
    <col min="95" max="95" width="20" style="333" customWidth="1"/>
    <col min="96" max="96" width="20" style="333" hidden="1" customWidth="1" outlineLevel="1"/>
    <col min="97" max="97" width="21.1796875" style="333" customWidth="1" collapsed="1"/>
    <col min="98" max="99" width="20.81640625" style="333" hidden="1" customWidth="1" outlineLevel="1"/>
    <col min="100" max="100" width="20.81640625" style="350" hidden="1" customWidth="1" outlineLevel="1"/>
    <col min="101" max="101" width="19.7265625" style="333" hidden="1" customWidth="1" outlineLevel="1"/>
    <col min="102" max="104" width="9.54296875" style="351" hidden="1" customWidth="1" outlineLevel="1"/>
    <col min="105" max="105" width="1.81640625" style="333" customWidth="1" collapsed="1"/>
    <col min="106" max="106" width="6.453125" style="351" customWidth="1"/>
    <col min="107" max="108" width="9.54296875" style="351" customWidth="1"/>
    <col min="109" max="118" width="11.453125" style="353" hidden="1" customWidth="1" outlineLevel="1"/>
    <col min="119" max="119" width="1.81640625" style="333" customWidth="1" collapsed="1"/>
    <col min="120" max="120" width="22.453125" style="350" hidden="1" customWidth="1" outlineLevel="1"/>
    <col min="121" max="122" width="9.54296875" style="368" hidden="1" customWidth="1" outlineLevel="1"/>
    <col min="123" max="123" width="27.7265625" style="350" hidden="1" customWidth="1" outlineLevel="1"/>
    <col min="124" max="124" width="14.81640625" style="350" hidden="1" customWidth="1" outlineLevel="1"/>
    <col min="125" max="126" width="21.54296875" style="350" hidden="1" customWidth="1" outlineLevel="1"/>
    <col min="127" max="127" width="18.1796875" style="350" hidden="1" customWidth="1" outlineLevel="1"/>
    <col min="128" max="130" width="9.54296875" style="368" hidden="1" customWidth="1" outlineLevel="1"/>
    <col min="131" max="131" width="21" style="350" hidden="1" customWidth="1" outlineLevel="1"/>
    <col min="132" max="132" width="16.453125" style="350" hidden="1" customWidth="1" outlineLevel="1"/>
    <col min="133" max="133" width="27.7265625" style="350" hidden="1" customWidth="1" outlineLevel="1"/>
    <col min="134" max="134" width="21.54296875" style="350" hidden="1" customWidth="1" outlineLevel="1"/>
    <col min="135" max="137" width="11.453125" style="353" hidden="1" customWidth="1" outlineLevel="1"/>
    <col min="138" max="138" width="21.453125" style="350" hidden="1" customWidth="1" outlineLevel="1"/>
    <col min="139" max="139" width="13" style="333" hidden="1" customWidth="1" outlineLevel="1"/>
    <col min="140" max="140" width="1.81640625" style="333" customWidth="1" collapsed="1"/>
    <col min="141" max="141" width="27.7265625" style="350" customWidth="1"/>
    <col min="142" max="142" width="2.453125" style="333" customWidth="1"/>
    <col min="143" max="16384" width="10.81640625" style="333"/>
  </cols>
  <sheetData>
    <row r="1" spans="1:142" ht="20.149999999999999" customHeight="1" x14ac:dyDescent="0.25">
      <c r="A1" s="372" t="str">
        <f>Parametros!D4&amp;" - "&amp;Parametros!D5</f>
        <v>1306304542001 - VELIZ NAPA JAVIER</v>
      </c>
      <c r="B1" s="321"/>
      <c r="C1" s="322"/>
      <c r="D1" s="322"/>
      <c r="E1" s="323"/>
      <c r="F1" s="322"/>
      <c r="G1" s="322"/>
      <c r="H1" s="323"/>
      <c r="I1" s="323"/>
      <c r="J1" s="322"/>
      <c r="K1" s="322"/>
      <c r="L1" s="324"/>
      <c r="M1" s="324"/>
      <c r="N1" s="322"/>
      <c r="O1" s="323"/>
      <c r="P1" s="323"/>
      <c r="Q1" s="322"/>
      <c r="R1" s="322"/>
      <c r="S1" s="322"/>
      <c r="T1" s="322"/>
      <c r="U1" s="326"/>
      <c r="V1" s="326"/>
      <c r="W1" s="326"/>
      <c r="X1" s="326"/>
      <c r="Y1" s="326"/>
      <c r="Z1" s="326"/>
      <c r="AA1" s="326"/>
      <c r="AB1" s="326"/>
      <c r="AC1" s="326"/>
      <c r="AD1" s="326"/>
      <c r="AE1" s="326"/>
      <c r="AF1" s="326"/>
      <c r="AG1" s="326"/>
      <c r="AH1" s="326"/>
      <c r="AI1" s="326"/>
      <c r="AJ1" s="326"/>
      <c r="AK1" s="327"/>
      <c r="AL1" s="326"/>
      <c r="AN1" s="322"/>
      <c r="AO1" s="322"/>
      <c r="AP1" s="322"/>
      <c r="AQ1" s="322"/>
      <c r="AR1" s="325"/>
      <c r="AS1" s="429"/>
      <c r="AT1" s="326"/>
      <c r="AU1" s="432"/>
      <c r="AV1" s="326"/>
      <c r="AW1" s="432"/>
      <c r="AX1" s="326"/>
      <c r="AZ1" s="328"/>
      <c r="BA1" s="323"/>
      <c r="BB1" s="323"/>
      <c r="BC1" s="328"/>
      <c r="BD1" s="328"/>
      <c r="BE1" s="582"/>
      <c r="BF1" s="329"/>
      <c r="BG1" s="326"/>
      <c r="BH1" s="330"/>
      <c r="BI1" s="326"/>
      <c r="BJ1" s="324"/>
      <c r="BK1" s="326"/>
      <c r="BL1" s="331"/>
      <c r="BM1" s="326"/>
      <c r="BN1" s="326"/>
      <c r="BO1" s="329"/>
      <c r="BP1" s="326"/>
      <c r="BQ1" s="330"/>
      <c r="BR1" s="326"/>
      <c r="BS1" s="324"/>
      <c r="BT1" s="326"/>
      <c r="BU1" s="331"/>
      <c r="BV1" s="332"/>
      <c r="BW1" s="322"/>
      <c r="BX1" s="329"/>
      <c r="BY1" s="326"/>
      <c r="BZ1" s="330"/>
      <c r="CA1" s="326"/>
      <c r="CC1" s="326"/>
      <c r="CD1" s="326"/>
      <c r="CE1" s="326"/>
      <c r="CF1" s="326"/>
      <c r="CG1" s="326"/>
      <c r="CH1" s="326"/>
      <c r="CI1" s="326"/>
      <c r="CJ1" s="326"/>
      <c r="CK1" s="326"/>
      <c r="CL1" s="322"/>
      <c r="CM1" s="322"/>
      <c r="CN1" s="322"/>
      <c r="CP1" s="325"/>
      <c r="CQ1" s="325"/>
      <c r="CR1" s="325"/>
      <c r="CS1" s="325"/>
      <c r="CT1" s="325"/>
      <c r="CU1" s="325"/>
      <c r="CV1" s="322"/>
      <c r="CW1" s="325"/>
      <c r="CX1" s="321"/>
      <c r="CY1" s="321"/>
      <c r="CZ1" s="321"/>
      <c r="DA1" s="325"/>
      <c r="DB1" s="321"/>
      <c r="DC1" s="321"/>
      <c r="DD1" s="321"/>
      <c r="DE1" s="326"/>
      <c r="DF1" s="326"/>
      <c r="DG1" s="326"/>
      <c r="DH1" s="326"/>
      <c r="DI1" s="326"/>
      <c r="DJ1" s="326"/>
      <c r="DK1" s="326"/>
      <c r="DL1" s="326"/>
      <c r="DM1" s="326"/>
      <c r="DN1" s="326"/>
      <c r="DO1" s="325"/>
      <c r="DP1" s="322"/>
      <c r="DQ1" s="322"/>
      <c r="DR1" s="323"/>
      <c r="DS1" s="322"/>
      <c r="DT1" s="322"/>
      <c r="DU1" s="322"/>
      <c r="DV1" s="322"/>
      <c r="DW1" s="322"/>
      <c r="DX1" s="323"/>
      <c r="DY1" s="323"/>
      <c r="DZ1" s="323"/>
      <c r="EA1" s="322"/>
      <c r="EB1" s="322"/>
      <c r="EC1" s="322"/>
      <c r="ED1" s="322"/>
      <c r="EE1" s="326"/>
      <c r="EF1" s="326"/>
      <c r="EG1" s="326"/>
      <c r="EH1" s="322"/>
      <c r="EI1" s="325"/>
      <c r="EJ1" s="325"/>
      <c r="EK1" s="322"/>
      <c r="EL1" s="325"/>
    </row>
    <row r="2" spans="1:142" ht="19.5" customHeight="1" x14ac:dyDescent="0.25">
      <c r="A2" s="373" t="s">
        <v>1193</v>
      </c>
      <c r="B2" s="334"/>
      <c r="C2" s="334"/>
      <c r="D2" s="322"/>
      <c r="E2" s="323"/>
      <c r="F2" s="322"/>
      <c r="G2" s="322"/>
      <c r="H2" s="323"/>
      <c r="I2" s="323"/>
      <c r="J2" s="322"/>
      <c r="K2" s="322"/>
      <c r="L2" s="324"/>
      <c r="M2" s="324"/>
      <c r="N2" s="322"/>
      <c r="O2" s="323"/>
      <c r="P2" s="323"/>
      <c r="Q2" s="322"/>
      <c r="R2" s="322"/>
      <c r="S2" s="322"/>
      <c r="T2" s="322"/>
      <c r="U2" s="326"/>
      <c r="V2" s="326"/>
      <c r="W2" s="326"/>
      <c r="X2" s="326"/>
      <c r="Y2" s="326"/>
      <c r="Z2" s="326"/>
      <c r="AA2" s="326"/>
      <c r="AB2" s="326"/>
      <c r="AC2" s="326"/>
      <c r="AD2" s="326"/>
      <c r="AE2" s="326"/>
      <c r="AF2" s="326"/>
      <c r="AG2" s="326"/>
      <c r="AH2" s="326"/>
      <c r="AK2" s="537"/>
      <c r="AL2" s="326"/>
      <c r="AN2" s="322"/>
      <c r="AO2" s="322"/>
      <c r="AP2" s="322"/>
      <c r="AQ2" s="322"/>
      <c r="AR2" s="325"/>
      <c r="AS2" s="429"/>
      <c r="AT2" s="326"/>
      <c r="AU2" s="432"/>
      <c r="AV2" s="335"/>
      <c r="AW2" s="432"/>
      <c r="AX2" s="326"/>
      <c r="AZ2" s="328"/>
      <c r="BA2" s="323"/>
      <c r="BB2" s="323"/>
      <c r="BC2" s="328"/>
      <c r="BD2" s="328"/>
      <c r="BE2" s="582"/>
      <c r="BF2" s="329"/>
      <c r="BG2" s="326"/>
      <c r="BH2" s="330"/>
      <c r="BI2" s="326"/>
      <c r="BJ2" s="324"/>
      <c r="BK2" s="326"/>
      <c r="BL2" s="331"/>
      <c r="BM2" s="326"/>
      <c r="BN2" s="326"/>
      <c r="BO2" s="329"/>
      <c r="BP2" s="326"/>
      <c r="BQ2" s="330"/>
      <c r="BR2" s="326"/>
      <c r="BS2" s="324"/>
      <c r="BT2" s="326"/>
      <c r="BU2" s="331"/>
      <c r="BV2" s="332"/>
      <c r="BW2" s="322"/>
      <c r="BX2" s="329"/>
      <c r="BY2" s="326"/>
      <c r="BZ2" s="330"/>
      <c r="CA2" s="326"/>
      <c r="CC2" s="326"/>
      <c r="CD2" s="326"/>
      <c r="CE2" s="326"/>
      <c r="CF2" s="326"/>
      <c r="CG2" s="326"/>
      <c r="CH2" s="326"/>
      <c r="CI2" s="326"/>
      <c r="CJ2" s="326"/>
      <c r="CK2" s="326"/>
      <c r="CL2" s="322"/>
      <c r="CM2" s="322"/>
      <c r="CN2" s="322"/>
      <c r="CP2" s="325"/>
      <c r="CQ2" s="325"/>
      <c r="CR2" s="325"/>
      <c r="CS2" s="325"/>
      <c r="CT2" s="325"/>
      <c r="CU2" s="325"/>
      <c r="CV2" s="322"/>
      <c r="CW2" s="325"/>
      <c r="CX2" s="321"/>
      <c r="CY2" s="321"/>
      <c r="CZ2" s="321"/>
      <c r="DA2" s="325"/>
      <c r="DB2" s="321"/>
      <c r="DC2" s="321"/>
      <c r="DD2" s="321"/>
      <c r="DE2" s="326"/>
      <c r="DF2" s="326"/>
      <c r="DG2" s="326"/>
      <c r="DH2" s="326"/>
      <c r="DI2" s="326"/>
      <c r="DJ2" s="326"/>
      <c r="DK2" s="326"/>
      <c r="DL2" s="326"/>
      <c r="DM2" s="326"/>
      <c r="DN2" s="326"/>
      <c r="DO2" s="325"/>
      <c r="DP2" s="322"/>
      <c r="DQ2" s="323"/>
      <c r="DR2" s="323"/>
      <c r="DS2" s="322"/>
      <c r="DT2" s="322"/>
      <c r="DU2" s="322"/>
      <c r="DV2" s="322"/>
      <c r="DW2" s="322"/>
      <c r="DX2" s="323"/>
      <c r="DY2" s="323"/>
      <c r="DZ2" s="323"/>
      <c r="EA2" s="322"/>
      <c r="EB2" s="322"/>
      <c r="EC2" s="322"/>
      <c r="ED2" s="322"/>
      <c r="EE2" s="326"/>
      <c r="EF2" s="326"/>
      <c r="EG2" s="326"/>
      <c r="EH2" s="322"/>
      <c r="EI2" s="325"/>
      <c r="EJ2" s="325"/>
      <c r="EK2" s="322"/>
      <c r="EL2" s="325"/>
    </row>
    <row r="3" spans="1:142" s="344" customFormat="1" ht="16" hidden="1" customHeight="1" x14ac:dyDescent="0.25">
      <c r="A3" s="336"/>
      <c r="B3" s="337"/>
      <c r="C3" s="338"/>
      <c r="D3" s="338"/>
      <c r="E3" s="338"/>
      <c r="F3" s="338"/>
      <c r="G3" s="338"/>
      <c r="H3" s="338"/>
      <c r="I3" s="338"/>
      <c r="J3" s="338"/>
      <c r="K3" s="338"/>
      <c r="L3" s="339"/>
      <c r="M3" s="339"/>
      <c r="N3" s="338"/>
      <c r="O3" s="338"/>
      <c r="P3" s="338"/>
      <c r="Q3" s="338"/>
      <c r="R3" s="338"/>
      <c r="S3" s="338"/>
      <c r="T3" s="338"/>
      <c r="U3" s="340"/>
      <c r="V3" s="340"/>
      <c r="W3" s="340"/>
      <c r="X3" s="340"/>
      <c r="Y3" s="340"/>
      <c r="Z3" s="340"/>
      <c r="AA3" s="340"/>
      <c r="AB3" s="340"/>
      <c r="AC3" s="340"/>
      <c r="AD3" s="340"/>
      <c r="AE3" s="340"/>
      <c r="AF3" s="340"/>
      <c r="AG3" s="340"/>
      <c r="AH3" s="340"/>
      <c r="AI3" s="374"/>
      <c r="AJ3" s="374"/>
      <c r="AK3" s="340"/>
      <c r="AL3" s="340"/>
      <c r="AM3" s="337"/>
      <c r="AN3" s="338"/>
      <c r="AO3" s="338"/>
      <c r="AP3" s="338"/>
      <c r="AQ3" s="338"/>
      <c r="AR3" s="337"/>
      <c r="AS3" s="430"/>
      <c r="AT3" s="340"/>
      <c r="AU3" s="433"/>
      <c r="AV3" s="340"/>
      <c r="AW3" s="433"/>
      <c r="AX3" s="340"/>
      <c r="AY3" s="337"/>
      <c r="AZ3" s="338"/>
      <c r="BA3" s="338"/>
      <c r="BB3" s="338"/>
      <c r="BC3" s="338"/>
      <c r="BD3" s="338"/>
      <c r="BE3" s="583"/>
      <c r="BF3" s="532"/>
      <c r="BG3" s="340"/>
      <c r="BH3" s="342"/>
      <c r="BI3" s="340"/>
      <c r="BJ3" s="339"/>
      <c r="BK3" s="340"/>
      <c r="BL3" s="343"/>
      <c r="BM3" s="340"/>
      <c r="BN3" s="340"/>
      <c r="BO3" s="532"/>
      <c r="BP3" s="340"/>
      <c r="BQ3" s="342"/>
      <c r="BR3" s="340"/>
      <c r="BS3" s="339"/>
      <c r="BT3" s="340"/>
      <c r="BU3" s="343"/>
      <c r="BV3" s="341"/>
      <c r="BW3" s="338"/>
      <c r="BX3" s="532"/>
      <c r="BY3" s="340"/>
      <c r="BZ3" s="342"/>
      <c r="CA3" s="340"/>
      <c r="CB3" s="337"/>
      <c r="CC3" s="340"/>
      <c r="CD3" s="340"/>
      <c r="CE3" s="340"/>
      <c r="CF3" s="340"/>
      <c r="CG3" s="340"/>
      <c r="CH3" s="340"/>
      <c r="CI3" s="340"/>
      <c r="CJ3" s="340"/>
      <c r="CK3" s="340"/>
      <c r="CL3" s="338"/>
      <c r="CM3" s="338"/>
      <c r="CN3" s="338"/>
      <c r="CO3" s="337"/>
      <c r="CP3" s="337"/>
      <c r="CQ3" s="337"/>
      <c r="CR3" s="337"/>
      <c r="CS3" s="337"/>
      <c r="CT3" s="337"/>
      <c r="CU3" s="337"/>
      <c r="CV3" s="338"/>
      <c r="CW3" s="337"/>
      <c r="CX3" s="337"/>
      <c r="CY3" s="337"/>
      <c r="CZ3" s="337"/>
      <c r="DA3" s="337"/>
      <c r="DB3" s="337"/>
      <c r="DC3" s="337"/>
      <c r="DD3" s="337"/>
      <c r="DE3" s="340"/>
      <c r="DF3" s="340"/>
      <c r="DG3" s="340"/>
      <c r="DH3" s="340"/>
      <c r="DI3" s="340"/>
      <c r="DJ3" s="340"/>
      <c r="DK3" s="340"/>
      <c r="DL3" s="340"/>
      <c r="DM3" s="340"/>
      <c r="DN3" s="340"/>
      <c r="DO3" s="337"/>
      <c r="DP3" s="338"/>
      <c r="DQ3" s="338"/>
      <c r="DR3" s="338"/>
      <c r="DS3" s="338"/>
      <c r="DT3" s="338"/>
      <c r="DU3" s="338"/>
      <c r="DV3" s="338"/>
      <c r="DW3" s="338"/>
      <c r="DX3" s="338"/>
      <c r="DY3" s="338"/>
      <c r="DZ3" s="338"/>
      <c r="EA3" s="338"/>
      <c r="EB3" s="338"/>
      <c r="EC3" s="338"/>
      <c r="ED3" s="338"/>
      <c r="EE3" s="340"/>
      <c r="EF3" s="340"/>
      <c r="EG3" s="340"/>
      <c r="EH3" s="338"/>
      <c r="EI3" s="337"/>
      <c r="EJ3" s="337"/>
      <c r="EK3" s="338"/>
      <c r="EL3" s="337"/>
    </row>
    <row r="4" spans="1:142" s="615" customFormat="1" ht="14.5" customHeight="1" x14ac:dyDescent="0.25">
      <c r="A4" s="370"/>
      <c r="B4" s="371" t="str">
        <f>"# Registros COMPRAS : " &amp; COUNTIF(M:M,"&gt;0")</f>
        <v># Registros COMPRAS : 3</v>
      </c>
      <c r="C4" s="595" t="s">
        <v>1267</v>
      </c>
      <c r="D4" s="616"/>
      <c r="E4" s="617"/>
      <c r="F4" s="618" t="s">
        <v>1268</v>
      </c>
      <c r="G4" s="601"/>
      <c r="H4" s="601"/>
      <c r="I4" s="601"/>
      <c r="J4" s="601"/>
      <c r="K4" s="601"/>
      <c r="L4" s="619"/>
      <c r="M4" s="620"/>
      <c r="N4" s="595" t="s">
        <v>1269</v>
      </c>
      <c r="O4" s="601"/>
      <c r="P4" s="601"/>
      <c r="Q4" s="601"/>
      <c r="R4" s="616"/>
      <c r="T4" s="598"/>
      <c r="U4" s="599" t="s">
        <v>1960</v>
      </c>
      <c r="V4" s="537"/>
      <c r="W4" s="537"/>
      <c r="X4" s="634"/>
      <c r="Y4" s="842"/>
      <c r="Z4" s="843"/>
      <c r="AA4" s="634"/>
      <c r="AB4" s="842"/>
      <c r="AC4" s="843"/>
      <c r="AD4" s="634"/>
      <c r="AE4" s="842"/>
      <c r="AF4" s="843"/>
      <c r="AG4" s="537"/>
      <c r="AH4" s="621"/>
      <c r="AI4" s="621"/>
      <c r="AJ4" s="621"/>
      <c r="AL4" s="600"/>
      <c r="AN4" s="603"/>
      <c r="AO4" s="622" t="s">
        <v>1963</v>
      </c>
      <c r="AP4" s="623"/>
      <c r="AQ4" s="623"/>
      <c r="AR4" s="624"/>
      <c r="AS4" s="604" t="s">
        <v>1959</v>
      </c>
      <c r="AT4" s="537"/>
      <c r="AU4" s="605"/>
      <c r="AV4" s="537"/>
      <c r="AW4" s="605"/>
      <c r="AX4" s="600"/>
      <c r="AZ4" s="625" t="s">
        <v>1961</v>
      </c>
      <c r="BA4" s="601"/>
      <c r="BB4" s="601"/>
      <c r="BC4" s="601"/>
      <c r="BD4" s="601"/>
      <c r="BE4" s="626"/>
      <c r="BF4" s="627" t="s">
        <v>1270</v>
      </c>
      <c r="BG4" s="537"/>
      <c r="BH4" s="628"/>
      <c r="BI4" s="600"/>
      <c r="BJ4" s="629" t="s">
        <v>1271</v>
      </c>
      <c r="BK4" s="630"/>
      <c r="BL4" s="631"/>
      <c r="BM4" s="632" t="s">
        <v>1275</v>
      </c>
      <c r="BN4" s="633"/>
      <c r="BO4" s="627" t="s">
        <v>1272</v>
      </c>
      <c r="BP4" s="537"/>
      <c r="BQ4" s="628"/>
      <c r="BR4" s="600"/>
      <c r="BS4" s="629" t="s">
        <v>1273</v>
      </c>
      <c r="BT4" s="630"/>
      <c r="BU4" s="631"/>
      <c r="BV4" s="632" t="s">
        <v>1274</v>
      </c>
      <c r="BW4" s="633"/>
      <c r="BX4" s="627" t="s">
        <v>678</v>
      </c>
      <c r="BY4" s="537"/>
      <c r="BZ4" s="628"/>
      <c r="CA4" s="600"/>
      <c r="CC4" s="599" t="s">
        <v>1962</v>
      </c>
      <c r="CD4" s="537"/>
      <c r="CE4" s="537"/>
      <c r="CF4" s="537"/>
      <c r="CG4" s="537"/>
      <c r="CH4" s="537"/>
      <c r="CI4" s="537"/>
      <c r="CJ4" s="537"/>
      <c r="CK4" s="634" t="s">
        <v>679</v>
      </c>
      <c r="CL4" s="622" t="s">
        <v>1964</v>
      </c>
      <c r="CM4" s="623"/>
      <c r="CN4" s="623"/>
      <c r="CP4" s="635" t="s">
        <v>1965</v>
      </c>
      <c r="CQ4" s="636"/>
      <c r="CR4" s="637"/>
      <c r="CS4" s="613"/>
      <c r="CT4" s="608" t="s">
        <v>2125</v>
      </c>
      <c r="CU4" s="608" t="s">
        <v>2126</v>
      </c>
      <c r="CV4" s="608" t="s">
        <v>2127</v>
      </c>
      <c r="CW4" s="646" t="s">
        <v>2128</v>
      </c>
      <c r="CX4" s="646"/>
      <c r="CY4" s="646"/>
      <c r="CZ4" s="646"/>
      <c r="DA4" s="638"/>
      <c r="DB4" s="608" t="s">
        <v>679</v>
      </c>
      <c r="DC4" s="608" t="s">
        <v>679</v>
      </c>
      <c r="DD4" s="608" t="s">
        <v>679</v>
      </c>
      <c r="DE4" s="639" t="s">
        <v>679</v>
      </c>
      <c r="DF4" s="639" t="s">
        <v>679</v>
      </c>
      <c r="DG4" s="639" t="s">
        <v>679</v>
      </c>
      <c r="DH4" s="639" t="s">
        <v>679</v>
      </c>
      <c r="DI4" s="639" t="s">
        <v>679</v>
      </c>
      <c r="DJ4" s="639" t="s">
        <v>679</v>
      </c>
      <c r="DK4" s="639" t="s">
        <v>679</v>
      </c>
      <c r="DL4" s="639" t="s">
        <v>679</v>
      </c>
      <c r="DM4" s="639" t="s">
        <v>679</v>
      </c>
      <c r="DN4" s="639" t="s">
        <v>679</v>
      </c>
      <c r="DO4" s="638"/>
      <c r="DP4" s="603"/>
      <c r="DQ4" s="610"/>
      <c r="DR4" s="610"/>
      <c r="DS4" s="603"/>
      <c r="DT4" s="603"/>
      <c r="DU4" s="603"/>
      <c r="DV4" s="603"/>
      <c r="DW4" s="603"/>
      <c r="DX4" s="610"/>
      <c r="DY4" s="610"/>
      <c r="DZ4" s="610"/>
      <c r="EA4" s="603"/>
      <c r="EB4" s="603"/>
      <c r="EC4" s="603"/>
      <c r="ED4" s="603"/>
      <c r="EE4" s="345"/>
      <c r="EF4" s="327"/>
      <c r="EG4" s="327" t="s">
        <v>1876</v>
      </c>
      <c r="EH4" s="603"/>
      <c r="EI4" s="639" t="s">
        <v>679</v>
      </c>
      <c r="EJ4" s="638"/>
      <c r="EK4" s="598"/>
      <c r="EL4" s="613"/>
    </row>
    <row r="5" spans="1:142" s="351" customFormat="1" ht="16" customHeight="1" x14ac:dyDescent="0.25">
      <c r="A5" s="1310" t="s">
        <v>680</v>
      </c>
      <c r="B5" s="1308" t="s">
        <v>681</v>
      </c>
      <c r="C5" s="1312" t="s">
        <v>682</v>
      </c>
      <c r="D5" s="1308" t="s">
        <v>683</v>
      </c>
      <c r="E5" s="1312" t="s">
        <v>684</v>
      </c>
      <c r="F5" s="1312" t="s">
        <v>2111</v>
      </c>
      <c r="G5" s="1312" t="s">
        <v>685</v>
      </c>
      <c r="H5" s="1312" t="s">
        <v>686</v>
      </c>
      <c r="I5" s="1312" t="s">
        <v>687</v>
      </c>
      <c r="J5" s="1312" t="s">
        <v>688</v>
      </c>
      <c r="K5" s="1312" t="s">
        <v>689</v>
      </c>
      <c r="L5" s="1306" t="s">
        <v>690</v>
      </c>
      <c r="M5" s="1306" t="s">
        <v>1101</v>
      </c>
      <c r="N5" s="1308" t="s">
        <v>691</v>
      </c>
      <c r="O5" s="1312" t="s">
        <v>686</v>
      </c>
      <c r="P5" s="1312" t="s">
        <v>687</v>
      </c>
      <c r="Q5" s="1312" t="s">
        <v>692</v>
      </c>
      <c r="R5" s="1312" t="s">
        <v>693</v>
      </c>
      <c r="S5" s="816" t="s">
        <v>677</v>
      </c>
      <c r="T5" s="1316" t="s">
        <v>695</v>
      </c>
      <c r="U5" s="587">
        <f>SUBTOTAL(9,U$6:U953)</f>
        <v>0</v>
      </c>
      <c r="V5" s="587">
        <f>SUBTOTAL(9,V$6:V953)</f>
        <v>0</v>
      </c>
      <c r="W5" s="587">
        <f>SUBTOTAL(9,W$6:W953)</f>
        <v>0</v>
      </c>
      <c r="X5" s="587">
        <f>SUBTOTAL(9,X$6:X953)</f>
        <v>0</v>
      </c>
      <c r="Y5" s="1254" t="s">
        <v>2276</v>
      </c>
      <c r="Z5" s="817">
        <f>SUBTOTAL(9,Z$6:Z953)</f>
        <v>0</v>
      </c>
      <c r="AA5" s="587">
        <f>SUBTOTAL(9,AA$6:AA953)</f>
        <v>0</v>
      </c>
      <c r="AB5" s="1254" t="s">
        <v>2277</v>
      </c>
      <c r="AC5" s="817">
        <f>SUBTOTAL(9,AC$6:AC953)</f>
        <v>0</v>
      </c>
      <c r="AD5" s="587">
        <f>SUBTOTAL(9,AD$6:AD953)</f>
        <v>0</v>
      </c>
      <c r="AE5" s="1254" t="s">
        <v>2286</v>
      </c>
      <c r="AF5" s="817">
        <f>SUBTOTAL(9,AF$6:AF953)</f>
        <v>0</v>
      </c>
      <c r="AG5" s="587">
        <f>SUBTOTAL(9,AG$6:AG953)</f>
        <v>0</v>
      </c>
      <c r="AH5" s="587">
        <f>SUBTOTAL(9,AH$6:AH953)</f>
        <v>0</v>
      </c>
      <c r="AI5" s="587">
        <f>SUBTOTAL(9,AI$6:AI953)</f>
        <v>0</v>
      </c>
      <c r="AJ5" s="587">
        <f>SUBTOTAL(9,AJ$6:AJ953)</f>
        <v>0</v>
      </c>
      <c r="AK5" s="587">
        <f>SUBTOTAL(9,AK$6:AK953)</f>
        <v>0</v>
      </c>
      <c r="AL5" s="587">
        <f>SUBTOTAL(9,AL$6:AL953)</f>
        <v>0</v>
      </c>
      <c r="AM5" s="538"/>
      <c r="AN5" s="1314" t="s">
        <v>1565</v>
      </c>
      <c r="AO5" s="1260" t="s">
        <v>1973</v>
      </c>
      <c r="AP5" s="1260"/>
      <c r="AQ5" s="1260"/>
      <c r="AR5" s="1269" t="s">
        <v>2120</v>
      </c>
      <c r="AS5" s="1267" t="s">
        <v>1966</v>
      </c>
      <c r="AT5" s="588">
        <f>SUBTOTAL(9,AT$6:AT953)</f>
        <v>0</v>
      </c>
      <c r="AU5" s="1267" t="s">
        <v>1967</v>
      </c>
      <c r="AV5" s="588">
        <f>SUBTOTAL(9,AV$6:AV953)</f>
        <v>0</v>
      </c>
      <c r="AW5" s="1267" t="s">
        <v>1968</v>
      </c>
      <c r="AX5" s="588">
        <f>SUBTOTAL(9,AX$6:AX953)</f>
        <v>0</v>
      </c>
      <c r="AY5" s="538"/>
      <c r="AZ5" s="1263" t="s">
        <v>1090</v>
      </c>
      <c r="BA5" s="1265" t="s">
        <v>1969</v>
      </c>
      <c r="BB5" s="1265" t="s">
        <v>1970</v>
      </c>
      <c r="BC5" s="1265" t="s">
        <v>1971</v>
      </c>
      <c r="BD5" s="1265" t="s">
        <v>1972</v>
      </c>
      <c r="BE5" s="1261" t="s">
        <v>705</v>
      </c>
      <c r="BF5" s="1256" t="s">
        <v>706</v>
      </c>
      <c r="BG5" s="817">
        <f>SUBTOTAL(9,BG$6:BG697)</f>
        <v>0</v>
      </c>
      <c r="BH5" s="1258" t="s">
        <v>708</v>
      </c>
      <c r="BI5" s="817">
        <f>SUBTOTAL(9,BI$6:BI697)</f>
        <v>0</v>
      </c>
      <c r="BJ5" s="1273" t="s">
        <v>710</v>
      </c>
      <c r="BK5" s="817">
        <f>SUBTOTAL(9,BK$6:BK697)</f>
        <v>0</v>
      </c>
      <c r="BL5" s="1275" t="s">
        <v>712</v>
      </c>
      <c r="BM5" s="1277" t="s">
        <v>713</v>
      </c>
      <c r="BN5" s="1279" t="s">
        <v>714</v>
      </c>
      <c r="BO5" s="1281" t="s">
        <v>715</v>
      </c>
      <c r="BP5" s="818">
        <f>SUBTOTAL(9,BP$6:BP697)</f>
        <v>0</v>
      </c>
      <c r="BQ5" s="1285" t="s">
        <v>717</v>
      </c>
      <c r="BR5" s="822">
        <f>SUBTOTAL(9,BR$6:BR697)</f>
        <v>0</v>
      </c>
      <c r="BS5" s="1287" t="s">
        <v>1088</v>
      </c>
      <c r="BT5" s="821">
        <f>SUBTOTAL(9,BT$6:BT697)</f>
        <v>0</v>
      </c>
      <c r="BU5" s="1275" t="s">
        <v>712</v>
      </c>
      <c r="BV5" s="1277" t="s">
        <v>713</v>
      </c>
      <c r="BW5" s="1277" t="s">
        <v>714</v>
      </c>
      <c r="BX5" s="1256" t="s">
        <v>719</v>
      </c>
      <c r="BY5" s="818">
        <f>SUBTOTAL(9,BY$6:BY697)</f>
        <v>0</v>
      </c>
      <c r="BZ5" s="1285" t="s">
        <v>721</v>
      </c>
      <c r="CA5" s="819">
        <f>SUBTOTAL(9,CA$6:CA697)</f>
        <v>0</v>
      </c>
      <c r="CB5" s="538"/>
      <c r="CC5" s="587">
        <f>SUBTOTAL(9,CC$6:CC697)</f>
        <v>0</v>
      </c>
      <c r="CD5" s="587">
        <f>SUBTOTAL(9,CD$6:CD697)</f>
        <v>0</v>
      </c>
      <c r="CE5" s="587">
        <f>SUBTOTAL(9,CE$6:CE697)</f>
        <v>0</v>
      </c>
      <c r="CF5" s="587">
        <f>SUBTOTAL(9,CF$6:CF697)</f>
        <v>0</v>
      </c>
      <c r="CG5" s="587">
        <f>SUBTOTAL(9,CG$6:CG697)</f>
        <v>0</v>
      </c>
      <c r="CH5" s="587">
        <f>SUBTOTAL(9,CH$6:CH697)</f>
        <v>0</v>
      </c>
      <c r="CI5" s="587">
        <f>SUBTOTAL(9,CI$6:CI697)</f>
        <v>0</v>
      </c>
      <c r="CJ5" s="587">
        <f>SUBTOTAL(9,CJ$6:CJ697)</f>
        <v>0</v>
      </c>
      <c r="CK5" s="587">
        <f>SUBTOTAL(9,CK$6:CK697)</f>
        <v>0</v>
      </c>
      <c r="CL5" s="1260" t="s">
        <v>1975</v>
      </c>
      <c r="CM5" s="1260"/>
      <c r="CN5" s="1260"/>
      <c r="CO5" s="538"/>
      <c r="CP5" s="1289" t="s">
        <v>730</v>
      </c>
      <c r="CQ5" s="1271" t="s">
        <v>731</v>
      </c>
      <c r="CR5" s="1271" t="s">
        <v>732</v>
      </c>
      <c r="CS5" s="1271" t="s">
        <v>733</v>
      </c>
      <c r="CT5" s="1271" t="s">
        <v>734</v>
      </c>
      <c r="CU5" s="1271" t="s">
        <v>1479</v>
      </c>
      <c r="CV5" s="1266" t="s">
        <v>735</v>
      </c>
      <c r="CW5" s="1271" t="s">
        <v>736</v>
      </c>
      <c r="CX5" s="1271" t="s">
        <v>737</v>
      </c>
      <c r="CY5" s="1271" t="s">
        <v>738</v>
      </c>
      <c r="CZ5" s="1318" t="s">
        <v>739</v>
      </c>
      <c r="DA5" s="844"/>
      <c r="DB5" s="1320" t="s">
        <v>1186</v>
      </c>
      <c r="DC5" s="1322" t="s">
        <v>1265</v>
      </c>
      <c r="DD5" s="1322" t="s">
        <v>1232</v>
      </c>
      <c r="DE5" s="1283" t="s">
        <v>740</v>
      </c>
      <c r="DF5" s="1283" t="s">
        <v>741</v>
      </c>
      <c r="DG5" s="1283" t="s">
        <v>742</v>
      </c>
      <c r="DH5" s="1283" t="s">
        <v>2104</v>
      </c>
      <c r="DI5" s="1283" t="s">
        <v>2105</v>
      </c>
      <c r="DJ5" s="1283" t="s">
        <v>2106</v>
      </c>
      <c r="DK5" s="1283" t="s">
        <v>2107</v>
      </c>
      <c r="DL5" s="1283" t="s">
        <v>2110</v>
      </c>
      <c r="DM5" s="1283" t="s">
        <v>2109</v>
      </c>
      <c r="DN5" s="1292" t="s">
        <v>2108</v>
      </c>
      <c r="DO5" s="844"/>
      <c r="DP5" s="1298" t="s">
        <v>1957</v>
      </c>
      <c r="DQ5" s="1298"/>
      <c r="DR5" s="1298"/>
      <c r="DS5" s="1298"/>
      <c r="DT5" s="1298"/>
      <c r="DU5" s="1298"/>
      <c r="DV5" s="1298"/>
      <c r="DW5" s="1299" t="s">
        <v>1958</v>
      </c>
      <c r="DX5" s="1300"/>
      <c r="DY5" s="1300"/>
      <c r="DZ5" s="1300"/>
      <c r="EA5" s="1300"/>
      <c r="EB5" s="1300"/>
      <c r="EC5" s="1300"/>
      <c r="ED5" s="1301"/>
      <c r="EE5" s="1302" t="s">
        <v>1570</v>
      </c>
      <c r="EF5" s="1302" t="s">
        <v>1874</v>
      </c>
      <c r="EG5" s="1302" t="s">
        <v>1871</v>
      </c>
      <c r="EH5" s="1304" t="s">
        <v>1759</v>
      </c>
      <c r="EI5" s="1294" t="s">
        <v>744</v>
      </c>
      <c r="EJ5" s="844"/>
      <c r="EK5" s="1296" t="s">
        <v>743</v>
      </c>
      <c r="EL5" s="534"/>
    </row>
    <row r="6" spans="1:142" s="536" customFormat="1" ht="47.15" customHeight="1" x14ac:dyDescent="0.35">
      <c r="A6" s="1311"/>
      <c r="B6" s="1309"/>
      <c r="C6" s="1313"/>
      <c r="D6" s="1309"/>
      <c r="E6" s="1313"/>
      <c r="F6" s="1313"/>
      <c r="G6" s="1313"/>
      <c r="H6" s="1313"/>
      <c r="I6" s="1313"/>
      <c r="J6" s="1313"/>
      <c r="K6" s="1313"/>
      <c r="L6" s="1307"/>
      <c r="M6" s="1307"/>
      <c r="N6" s="1309"/>
      <c r="O6" s="1313"/>
      <c r="P6" s="1313"/>
      <c r="Q6" s="1313"/>
      <c r="R6" s="1313"/>
      <c r="S6" s="845" t="s">
        <v>694</v>
      </c>
      <c r="T6" s="1317"/>
      <c r="U6" s="846" t="s">
        <v>696</v>
      </c>
      <c r="V6" s="840" t="s">
        <v>1264</v>
      </c>
      <c r="W6" s="840" t="s">
        <v>698</v>
      </c>
      <c r="X6" s="841" t="s">
        <v>2307</v>
      </c>
      <c r="Y6" s="1255"/>
      <c r="Z6" s="862" t="s">
        <v>2308</v>
      </c>
      <c r="AA6" s="841" t="s">
        <v>2309</v>
      </c>
      <c r="AB6" s="1255"/>
      <c r="AC6" s="862" t="s">
        <v>2310</v>
      </c>
      <c r="AD6" s="841" t="s">
        <v>2311</v>
      </c>
      <c r="AE6" s="1255"/>
      <c r="AF6" s="862" t="s">
        <v>2312</v>
      </c>
      <c r="AG6" s="840" t="s">
        <v>1262</v>
      </c>
      <c r="AH6" s="840" t="s">
        <v>1185</v>
      </c>
      <c r="AI6" s="840" t="s">
        <v>1886</v>
      </c>
      <c r="AJ6" s="840" t="s">
        <v>1887</v>
      </c>
      <c r="AK6" s="840" t="s">
        <v>703</v>
      </c>
      <c r="AL6" s="841" t="s">
        <v>1261</v>
      </c>
      <c r="AM6" s="538"/>
      <c r="AN6" s="1315"/>
      <c r="AO6" s="589" t="s">
        <v>1819</v>
      </c>
      <c r="AP6" s="590" t="s">
        <v>1818</v>
      </c>
      <c r="AQ6" s="589" t="s">
        <v>1820</v>
      </c>
      <c r="AR6" s="1270"/>
      <c r="AS6" s="1268"/>
      <c r="AT6" s="590" t="s">
        <v>704</v>
      </c>
      <c r="AU6" s="1268"/>
      <c r="AV6" s="590" t="s">
        <v>704</v>
      </c>
      <c r="AW6" s="1268"/>
      <c r="AX6" s="590" t="s">
        <v>704</v>
      </c>
      <c r="AY6" s="538"/>
      <c r="AZ6" s="1264"/>
      <c r="BA6" s="1266"/>
      <c r="BB6" s="1266"/>
      <c r="BC6" s="1266"/>
      <c r="BD6" s="1266"/>
      <c r="BE6" s="1262"/>
      <c r="BF6" s="1257"/>
      <c r="BG6" s="847" t="s">
        <v>707</v>
      </c>
      <c r="BH6" s="1259"/>
      <c r="BI6" s="847" t="s">
        <v>709</v>
      </c>
      <c r="BJ6" s="1274"/>
      <c r="BK6" s="847" t="s">
        <v>711</v>
      </c>
      <c r="BL6" s="1276"/>
      <c r="BM6" s="1278"/>
      <c r="BN6" s="1280"/>
      <c r="BO6" s="1282"/>
      <c r="BP6" s="848" t="s">
        <v>716</v>
      </c>
      <c r="BQ6" s="1286"/>
      <c r="BR6" s="849" t="s">
        <v>718</v>
      </c>
      <c r="BS6" s="1288"/>
      <c r="BT6" s="850" t="s">
        <v>1089</v>
      </c>
      <c r="BU6" s="1276"/>
      <c r="BV6" s="1278"/>
      <c r="BW6" s="1278"/>
      <c r="BX6" s="1257"/>
      <c r="BY6" s="848" t="s">
        <v>720</v>
      </c>
      <c r="BZ6" s="1286"/>
      <c r="CA6" s="820" t="s">
        <v>722</v>
      </c>
      <c r="CB6" s="538"/>
      <c r="CC6" s="846" t="s">
        <v>723</v>
      </c>
      <c r="CD6" s="840" t="s">
        <v>724</v>
      </c>
      <c r="CE6" s="840" t="s">
        <v>725</v>
      </c>
      <c r="CF6" s="840" t="s">
        <v>726</v>
      </c>
      <c r="CG6" s="840" t="s">
        <v>727</v>
      </c>
      <c r="CH6" s="840" t="s">
        <v>728</v>
      </c>
      <c r="CI6" s="840" t="s">
        <v>1885</v>
      </c>
      <c r="CJ6" s="840" t="s">
        <v>1480</v>
      </c>
      <c r="CK6" s="841" t="s">
        <v>729</v>
      </c>
      <c r="CL6" s="589" t="s">
        <v>1819</v>
      </c>
      <c r="CM6" s="590" t="s">
        <v>1818</v>
      </c>
      <c r="CN6" s="589" t="s">
        <v>1820</v>
      </c>
      <c r="CO6" s="538"/>
      <c r="CP6" s="1290"/>
      <c r="CQ6" s="1272"/>
      <c r="CR6" s="1272"/>
      <c r="CS6" s="1272"/>
      <c r="CT6" s="1272"/>
      <c r="CU6" s="1272"/>
      <c r="CV6" s="1291"/>
      <c r="CW6" s="1272"/>
      <c r="CX6" s="1272"/>
      <c r="CY6" s="1272"/>
      <c r="CZ6" s="1319"/>
      <c r="DA6" s="539"/>
      <c r="DB6" s="1321"/>
      <c r="DC6" s="1323"/>
      <c r="DD6" s="1323"/>
      <c r="DE6" s="1284"/>
      <c r="DF6" s="1284"/>
      <c r="DG6" s="1284"/>
      <c r="DH6" s="1284"/>
      <c r="DI6" s="1284"/>
      <c r="DJ6" s="1284"/>
      <c r="DK6" s="1284"/>
      <c r="DL6" s="1284"/>
      <c r="DM6" s="1284"/>
      <c r="DN6" s="1293"/>
      <c r="DO6" s="539"/>
      <c r="DP6" s="591" t="s">
        <v>1872</v>
      </c>
      <c r="DQ6" s="591" t="s">
        <v>1526</v>
      </c>
      <c r="DR6" s="591" t="s">
        <v>1566</v>
      </c>
      <c r="DS6" s="591" t="s">
        <v>1870</v>
      </c>
      <c r="DT6" s="591" t="s">
        <v>1869</v>
      </c>
      <c r="DU6" s="591" t="s">
        <v>1979</v>
      </c>
      <c r="DV6" s="591" t="s">
        <v>1880</v>
      </c>
      <c r="DW6" s="591" t="s">
        <v>1872</v>
      </c>
      <c r="DX6" s="591" t="s">
        <v>1567</v>
      </c>
      <c r="DY6" s="591" t="s">
        <v>1568</v>
      </c>
      <c r="DZ6" s="591" t="s">
        <v>1569</v>
      </c>
      <c r="EA6" s="591" t="s">
        <v>1877</v>
      </c>
      <c r="EB6" s="591" t="s">
        <v>1878</v>
      </c>
      <c r="EC6" s="591" t="s">
        <v>1978</v>
      </c>
      <c r="ED6" s="591" t="s">
        <v>1879</v>
      </c>
      <c r="EE6" s="1303"/>
      <c r="EF6" s="1303"/>
      <c r="EG6" s="1303"/>
      <c r="EH6" s="1305"/>
      <c r="EI6" s="1295"/>
      <c r="EJ6" s="539"/>
      <c r="EK6" s="1297"/>
      <c r="EL6" s="535"/>
    </row>
    <row r="7" spans="1:142" x14ac:dyDescent="0.25">
      <c r="A7" s="863"/>
      <c r="B7" s="434" t="s">
        <v>2297</v>
      </c>
      <c r="C7" s="863"/>
      <c r="D7" s="434"/>
      <c r="E7" s="864" t="s">
        <v>745</v>
      </c>
      <c r="F7" s="434"/>
      <c r="G7" s="863" t="s">
        <v>1032</v>
      </c>
      <c r="H7" s="864" t="s">
        <v>8</v>
      </c>
      <c r="I7" s="864" t="s">
        <v>8</v>
      </c>
      <c r="J7" s="863"/>
      <c r="K7" s="863"/>
      <c r="L7" s="865">
        <v>46023</v>
      </c>
      <c r="M7" s="865">
        <v>46023</v>
      </c>
      <c r="N7" s="434"/>
      <c r="O7" s="864"/>
      <c r="P7" s="864"/>
      <c r="Q7" s="863"/>
      <c r="R7" s="863"/>
      <c r="S7" s="863"/>
      <c r="T7" s="863" t="s">
        <v>43</v>
      </c>
      <c r="U7" s="866">
        <v>0</v>
      </c>
      <c r="V7" s="866">
        <v>0</v>
      </c>
      <c r="W7" s="866">
        <v>0</v>
      </c>
      <c r="X7" s="866">
        <v>0</v>
      </c>
      <c r="Y7" s="866">
        <v>15</v>
      </c>
      <c r="Z7" s="866">
        <f>ROUND(X7*Y7%,2)</f>
        <v>0</v>
      </c>
      <c r="AA7" s="866"/>
      <c r="AB7" s="866">
        <v>5</v>
      </c>
      <c r="AC7" s="866">
        <f>ROUND(AA7*AB7%,2)</f>
        <v>0</v>
      </c>
      <c r="AD7" s="866"/>
      <c r="AE7" s="866">
        <v>8</v>
      </c>
      <c r="AF7" s="866">
        <f>ROUND(AD7*AE7%,2)</f>
        <v>0</v>
      </c>
      <c r="AG7" s="866">
        <v>0</v>
      </c>
      <c r="AH7" s="866">
        <v>0</v>
      </c>
      <c r="AI7" s="866">
        <v>0</v>
      </c>
      <c r="AJ7" s="866">
        <v>0</v>
      </c>
      <c r="AK7" s="866">
        <f>ROUND(SUM(U7:X7)+SUM(Z7:AA7)+SUM(AC7:AD7)+SUM(AF7:AJ7),2)</f>
        <v>0</v>
      </c>
      <c r="AL7" s="866">
        <v>0</v>
      </c>
      <c r="AM7" s="434"/>
      <c r="AN7" s="863"/>
      <c r="AO7" s="863"/>
      <c r="AP7" s="863"/>
      <c r="AQ7" s="863"/>
      <c r="AR7" s="434" t="s">
        <v>1245</v>
      </c>
      <c r="AS7" s="867">
        <v>510</v>
      </c>
      <c r="AT7" s="866">
        <f>IF(OR(AS7=545, AS7=518),($AK7-$Z7-$AC7-$AF7),IF(AND(AS7&gt;515,AS7&lt;518),($W7),IF(AND(AS7&gt;509,AS7&lt;516),$X7,IF(AS7=541,$U7,IF(AS7=542,$V7+SUM($AG7:$AJ7),IF(AS7=533,$AD7,IF(AS7=550,$AA7,0)))))))</f>
        <v>0</v>
      </c>
      <c r="AU7" s="867">
        <v>517</v>
      </c>
      <c r="AV7" s="866">
        <f>IF(OR(AU7=545, AU7=518),($AK7-$Z7-$AC7-$AF7),IF(AND(AU7&gt;515,AU7&lt;518),($W7),IF(AND(AU7&gt;509,AU7&lt;516),$X7,IF(AU7=541,$U7,IF(AU7=542,$V7+SUM($AG7:$AJ7),IF(AU7=533,$AD7,IF(AU7=550,$AA7,0)))))))</f>
        <v>0</v>
      </c>
      <c r="AW7" s="867">
        <v>542</v>
      </c>
      <c r="AX7" s="866">
        <f>IF(OR(AW7=545, AW7=518),($AK7-$Z7-$AC7-$AF7),IF(AND(AW7&gt;515,AW7&lt;518),($W7),IF(AND(AW7&gt;509,AW7&lt;516),$X7,IF(AW7=541,$U7,IF(AW7=542,$V7+SUM($AG7:$AJ7),IF(AW7=533,$AD7,IF(AW7=550,$AA7,0)))))))</f>
        <v>0</v>
      </c>
      <c r="AY7" s="434"/>
      <c r="AZ7" s="866"/>
      <c r="BA7" s="864"/>
      <c r="BB7" s="864"/>
      <c r="BC7" s="863"/>
      <c r="BD7" s="863"/>
      <c r="BE7" s="868"/>
      <c r="BF7" s="869"/>
      <c r="BG7" s="866">
        <f>SUM(U7:X7)-V7+AA7+AD7</f>
        <v>0</v>
      </c>
      <c r="BH7" s="870">
        <f>IF(ISERROR(VLOOKUP(BF7,Parametros!$C:$J,8,0)),0,VLOOKUP(BF7,Parametros!$C:$J,8,0))</f>
        <v>0</v>
      </c>
      <c r="BI7" s="866">
        <f>IF(ISERROR(ROUND((BG7*BH7),2)),0,ROUND((BG7*BH7),2))</f>
        <v>0</v>
      </c>
      <c r="BJ7" s="871"/>
      <c r="BK7" s="866">
        <v>0</v>
      </c>
      <c r="BL7" s="434"/>
      <c r="BM7" s="866">
        <v>0</v>
      </c>
      <c r="BN7" s="866">
        <v>0</v>
      </c>
      <c r="BO7" s="869"/>
      <c r="BP7" s="866">
        <f>SUM(U7:X7)-V7+AA7+AD7-BG7</f>
        <v>0</v>
      </c>
      <c r="BQ7" s="870">
        <f>IF(ISERROR(VLOOKUP(BO7,Parametros!$C:$J,8,0)),0,VLOOKUP(BO7,Parametros!$C:$J,8,0))</f>
        <v>0</v>
      </c>
      <c r="BR7" s="866">
        <f>IF(ISERROR(ROUND((BP7*BQ7),2)),0,ROUND((BP7*BQ7),2))</f>
        <v>0</v>
      </c>
      <c r="BS7" s="871"/>
      <c r="BT7" s="866">
        <v>0</v>
      </c>
      <c r="BU7" s="434"/>
      <c r="BV7" s="866">
        <v>0</v>
      </c>
      <c r="BW7" s="866">
        <v>0</v>
      </c>
      <c r="BX7" s="869"/>
      <c r="BY7" s="866">
        <f>SUM(U7:X7)-V7+AA7+AD7-BG7-BP7</f>
        <v>0</v>
      </c>
      <c r="BZ7" s="870">
        <f>IF(ISERROR(VLOOKUP(BX7,Parametros!$C:$J,8,0)),0,VLOOKUP(BX7,Parametros!$C:$J,8,0))</f>
        <v>0</v>
      </c>
      <c r="CA7" s="866">
        <f>IF(ISERROR(ROUND((BY7*BZ7),2)),0,ROUND((BY7*BZ7),2))</f>
        <v>0</v>
      </c>
      <c r="CB7" s="434"/>
      <c r="CC7" s="866">
        <v>0</v>
      </c>
      <c r="CD7" s="866">
        <v>0</v>
      </c>
      <c r="CE7" s="866">
        <v>0</v>
      </c>
      <c r="CF7" s="866">
        <v>0</v>
      </c>
      <c r="CG7" s="866">
        <v>0</v>
      </c>
      <c r="CH7" s="866">
        <v>0</v>
      </c>
      <c r="CI7" s="866">
        <v>0</v>
      </c>
      <c r="CJ7" s="866">
        <v>0</v>
      </c>
      <c r="CK7" s="866">
        <f>+BI7+BR7+CA7+SUM(CC7:CJ7)</f>
        <v>0</v>
      </c>
      <c r="CL7" s="863"/>
      <c r="CM7" s="863"/>
      <c r="CN7" s="863"/>
      <c r="CO7" s="434"/>
      <c r="CP7" s="434" t="s">
        <v>2292</v>
      </c>
      <c r="CQ7" s="434"/>
      <c r="CR7" s="434"/>
      <c r="CS7" s="434" t="s">
        <v>2293</v>
      </c>
      <c r="CT7" s="434"/>
      <c r="CU7" s="434"/>
      <c r="CV7" s="863"/>
      <c r="CW7" s="434"/>
      <c r="CX7" s="867"/>
      <c r="CY7" s="867"/>
      <c r="CZ7" s="867"/>
      <c r="DA7" s="434"/>
      <c r="DB7" s="867">
        <f>IF(ISNUMBER(M7),MONTH(M7),0)</f>
        <v>1</v>
      </c>
      <c r="DC7" s="872" t="str">
        <f>IF(ISNUMBER(M7),IF(ISERROR(HLOOKUP(MONTH(M7),meses_104,1,0)),"NO","SI"),"NO")</f>
        <v>SI</v>
      </c>
      <c r="DD7" s="872" t="str">
        <f>IF(ISNUMBER(M7),IF(ISERROR(HLOOKUP(MONTH(M7),meses_103,1,0)),"NO","SI"),"NO")</f>
        <v>SI</v>
      </c>
      <c r="DE7" s="866">
        <f>IF(ISBLANK(G7),0,IF(VALUE(LEFT(G7,2))=4,0,AT7))</f>
        <v>0</v>
      </c>
      <c r="DF7" s="866">
        <f>IF(ISBLANK(G7),0,IF(VALUE(LEFT(G7,2))=4,0,AV7))</f>
        <v>0</v>
      </c>
      <c r="DG7" s="866">
        <f>IF(ISBLANK(G7),0,IF(VALUE(LEFT(G7,2))=4,0,AX7))</f>
        <v>0</v>
      </c>
      <c r="DH7" s="866">
        <f>SUM(U7:W7)+SUM(AG7:AJ7)</f>
        <v>0</v>
      </c>
      <c r="DI7" s="866">
        <f>ROUND((IF(AS7=545,(Z7+AC7+AF7),0)+IF(AU7=545,(Z7+AC7+AF7),0)+IF(AW7=545,(Z7+AC7+AF7),0)),2)</f>
        <v>0</v>
      </c>
      <c r="DJ7" s="866">
        <f>ROUND((IF(AS7=512,Z7,0)+IF(AU7=512,Z7,0)+IF(AW7=512,Z7,0)),2)</f>
        <v>0</v>
      </c>
      <c r="DK7" s="866">
        <f>Z7+AC7+AF7-DI7-DJ7</f>
        <v>0</v>
      </c>
      <c r="DL7" s="866">
        <f>SUM(CC7:CH7)+CJ7</f>
        <v>0</v>
      </c>
      <c r="DM7" s="866">
        <f>CI7</f>
        <v>0</v>
      </c>
      <c r="DN7" s="866">
        <f>BI7+BR7+CA7</f>
        <v>0</v>
      </c>
      <c r="DO7" s="434"/>
      <c r="DP7" s="863"/>
      <c r="DQ7" s="864" t="s">
        <v>2294</v>
      </c>
      <c r="DR7" s="864" t="s">
        <v>2295</v>
      </c>
      <c r="DS7" s="863"/>
      <c r="DT7" s="863"/>
      <c r="DU7" s="863"/>
      <c r="DV7" s="863"/>
      <c r="DW7" s="863"/>
      <c r="DX7" s="864" t="s">
        <v>1505</v>
      </c>
      <c r="DY7" s="864" t="s">
        <v>2296</v>
      </c>
      <c r="DZ7" s="864"/>
      <c r="EA7" s="863"/>
      <c r="EB7" s="863"/>
      <c r="EC7" s="863"/>
      <c r="ED7" s="863"/>
      <c r="EE7" s="866">
        <v>0</v>
      </c>
      <c r="EF7" s="866">
        <v>0</v>
      </c>
      <c r="EG7" s="866">
        <v>0</v>
      </c>
      <c r="EH7" s="863"/>
      <c r="EI7" s="434"/>
      <c r="EJ7" s="434"/>
      <c r="EK7" s="863"/>
    </row>
    <row r="8" spans="1:142" x14ac:dyDescent="0.25">
      <c r="A8" s="863"/>
      <c r="B8" s="434" t="s">
        <v>2297</v>
      </c>
      <c r="C8" s="863"/>
      <c r="D8" s="434"/>
      <c r="E8" s="864" t="s">
        <v>745</v>
      </c>
      <c r="F8" s="434"/>
      <c r="G8" s="863" t="s">
        <v>1032</v>
      </c>
      <c r="H8" s="864" t="s">
        <v>8</v>
      </c>
      <c r="I8" s="864" t="s">
        <v>8</v>
      </c>
      <c r="J8" s="863"/>
      <c r="K8" s="863"/>
      <c r="L8" s="865">
        <v>46023</v>
      </c>
      <c r="M8" s="865">
        <v>46023</v>
      </c>
      <c r="N8" s="434"/>
      <c r="O8" s="864"/>
      <c r="P8" s="864"/>
      <c r="Q8" s="863"/>
      <c r="R8" s="863"/>
      <c r="S8" s="863"/>
      <c r="T8" s="863" t="s">
        <v>43</v>
      </c>
      <c r="U8" s="866">
        <v>0</v>
      </c>
      <c r="V8" s="866">
        <v>0</v>
      </c>
      <c r="W8" s="866">
        <v>0</v>
      </c>
      <c r="X8" s="866">
        <v>0</v>
      </c>
      <c r="Y8" s="866">
        <v>15</v>
      </c>
      <c r="Z8" s="866">
        <f t="shared" ref="Z8:Z9" si="0">ROUND(X8*Y8%,2)</f>
        <v>0</v>
      </c>
      <c r="AA8" s="866"/>
      <c r="AB8" s="866">
        <v>5</v>
      </c>
      <c r="AC8" s="866">
        <f t="shared" ref="AC8:AC9" si="1">ROUND(AA8*AB8%,2)</f>
        <v>0</v>
      </c>
      <c r="AD8" s="866"/>
      <c r="AE8" s="866">
        <v>8</v>
      </c>
      <c r="AF8" s="866">
        <f t="shared" ref="AF8:AF9" si="2">ROUND(AD8*AE8%,2)</f>
        <v>0</v>
      </c>
      <c r="AG8" s="866">
        <v>0</v>
      </c>
      <c r="AH8" s="866">
        <v>0</v>
      </c>
      <c r="AI8" s="866">
        <v>0</v>
      </c>
      <c r="AJ8" s="866">
        <v>0</v>
      </c>
      <c r="AK8" s="866">
        <f t="shared" ref="AK8:AK9" si="3">ROUND(SUM(U8:X8)+SUM(Z8:AA8)+SUM(AC8:AD8)+SUM(AF8:AJ8),2)</f>
        <v>0</v>
      </c>
      <c r="AL8" s="866">
        <v>0</v>
      </c>
      <c r="AM8" s="434"/>
      <c r="AN8" s="863"/>
      <c r="AO8" s="863"/>
      <c r="AP8" s="863"/>
      <c r="AQ8" s="863"/>
      <c r="AR8" s="434" t="s">
        <v>1245</v>
      </c>
      <c r="AS8" s="867">
        <v>510</v>
      </c>
      <c r="AT8" s="866">
        <f t="shared" ref="AT8:AT9" si="4">IF(OR(AS8=545, AS8=518),($AK8-$Z8-$AC8-$AF8),IF(AND(AS8&gt;515,AS8&lt;518),($W8),IF(AND(AS8&gt;509,AS8&lt;516),$X8,IF(AS8=541,$U8,IF(AS8=542,$V8+SUM($AG8:$AJ8),IF(AS8=533,$AD8,IF(AS8=550,$AA8,0)))))))</f>
        <v>0</v>
      </c>
      <c r="AU8" s="867">
        <v>517</v>
      </c>
      <c r="AV8" s="866">
        <f t="shared" ref="AV8:AV9" si="5">IF(OR(AU8=545, AU8=518),($AK8-$Z8-$AC8-$AF8),IF(AND(AU8&gt;515,AU8&lt;518),($W8),IF(AND(AU8&gt;509,AU8&lt;516),$X8,IF(AU8=541,$U8,IF(AU8=542,$V8+SUM($AG8:$AJ8),IF(AU8=533,$AD8,IF(AU8=550,$AA8,0)))))))</f>
        <v>0</v>
      </c>
      <c r="AW8" s="867">
        <v>542</v>
      </c>
      <c r="AX8" s="866">
        <f t="shared" ref="AX8:AX9" si="6">IF(OR(AW8=545, AW8=518),($AK8-$Z8-$AC8-$AF8),IF(AND(AW8&gt;515,AW8&lt;518),($W8),IF(AND(AW8&gt;509,AW8&lt;516),$X8,IF(AW8=541,$U8,IF(AW8=542,$V8+SUM($AG8:$AJ8),IF(AW8=533,$AD8,IF(AW8=550,$AA8,0)))))))</f>
        <v>0</v>
      </c>
      <c r="AY8" s="434"/>
      <c r="AZ8" s="866"/>
      <c r="BA8" s="864"/>
      <c r="BB8" s="864"/>
      <c r="BC8" s="863"/>
      <c r="BD8" s="863"/>
      <c r="BE8" s="868"/>
      <c r="BF8" s="869"/>
      <c r="BG8" s="866">
        <f t="shared" ref="BG8:BG9" si="7">SUM(U8:X8)-V8+AA8+AD8</f>
        <v>0</v>
      </c>
      <c r="BH8" s="870">
        <f>IF(ISERROR(VLOOKUP(BF8,Parametros!$C:$J,8,0)),0,VLOOKUP(BF8,Parametros!$C:$J,8,0))</f>
        <v>0</v>
      </c>
      <c r="BI8" s="866">
        <f t="shared" ref="BI8:BI9" si="8">IF(ISERROR(ROUND((BG8*BH8),2)),0,ROUND((BG8*BH8),2))</f>
        <v>0</v>
      </c>
      <c r="BJ8" s="871"/>
      <c r="BK8" s="866">
        <v>0</v>
      </c>
      <c r="BL8" s="434"/>
      <c r="BM8" s="866">
        <v>0</v>
      </c>
      <c r="BN8" s="866">
        <v>0</v>
      </c>
      <c r="BO8" s="869"/>
      <c r="BP8" s="866">
        <f t="shared" ref="BP8:BP9" si="9">SUM(U8:X8)-V8+AA8+AD8-BG8</f>
        <v>0</v>
      </c>
      <c r="BQ8" s="870">
        <f>IF(ISERROR(VLOOKUP(BO8,Parametros!$C:$J,8,0)),0,VLOOKUP(BO8,Parametros!$C:$J,8,0))</f>
        <v>0</v>
      </c>
      <c r="BR8" s="866">
        <f t="shared" ref="BR8:BR9" si="10">IF(ISERROR(ROUND((BP8*BQ8),2)),0,ROUND((BP8*BQ8),2))</f>
        <v>0</v>
      </c>
      <c r="BS8" s="871"/>
      <c r="BT8" s="866">
        <v>0</v>
      </c>
      <c r="BU8" s="434"/>
      <c r="BV8" s="866">
        <v>0</v>
      </c>
      <c r="BW8" s="866">
        <v>0</v>
      </c>
      <c r="BX8" s="869"/>
      <c r="BY8" s="866">
        <f t="shared" ref="BY8:BY9" si="11">SUM(U8:X8)-V8+AA8+AD8-BG8-BP8</f>
        <v>0</v>
      </c>
      <c r="BZ8" s="870">
        <f>IF(ISERROR(VLOOKUP(BX8,Parametros!$C:$J,8,0)),0,VLOOKUP(BX8,Parametros!$C:$J,8,0))</f>
        <v>0</v>
      </c>
      <c r="CA8" s="866">
        <f t="shared" ref="CA8:CA9" si="12">IF(ISERROR(ROUND((BY8*BZ8),2)),0,ROUND((BY8*BZ8),2))</f>
        <v>0</v>
      </c>
      <c r="CB8" s="434"/>
      <c r="CC8" s="866">
        <v>0</v>
      </c>
      <c r="CD8" s="866">
        <v>0</v>
      </c>
      <c r="CE8" s="866">
        <v>0</v>
      </c>
      <c r="CF8" s="866">
        <v>0</v>
      </c>
      <c r="CG8" s="866">
        <v>0</v>
      </c>
      <c r="CH8" s="866">
        <v>0</v>
      </c>
      <c r="CI8" s="866">
        <v>0</v>
      </c>
      <c r="CJ8" s="866">
        <v>0</v>
      </c>
      <c r="CK8" s="866">
        <f t="shared" ref="CK8:CK9" si="13">+BI8+BR8+CA8+SUM(CC8:CJ8)</f>
        <v>0</v>
      </c>
      <c r="CL8" s="863"/>
      <c r="CM8" s="863"/>
      <c r="CN8" s="863"/>
      <c r="CO8" s="434"/>
      <c r="CP8" s="434" t="s">
        <v>2292</v>
      </c>
      <c r="CQ8" s="434"/>
      <c r="CR8" s="434"/>
      <c r="CS8" s="434" t="s">
        <v>2293</v>
      </c>
      <c r="CT8" s="434"/>
      <c r="CU8" s="434"/>
      <c r="CV8" s="863"/>
      <c r="CW8" s="434"/>
      <c r="CX8" s="867"/>
      <c r="CY8" s="867"/>
      <c r="CZ8" s="867"/>
      <c r="DA8" s="434"/>
      <c r="DB8" s="867">
        <f t="shared" ref="DB8:DB9" si="14">IF(ISNUMBER(M8),MONTH(M8),0)</f>
        <v>1</v>
      </c>
      <c r="DC8" s="872" t="str">
        <f>IF(ISNUMBER(M8),IF(ISERROR(HLOOKUP(MONTH(M8),meses_104,1,0)),"NO","SI"),"NO")</f>
        <v>SI</v>
      </c>
      <c r="DD8" s="872" t="str">
        <f>IF(ISNUMBER(M8),IF(ISERROR(HLOOKUP(MONTH(M8),meses_103,1,0)),"NO","SI"),"NO")</f>
        <v>SI</v>
      </c>
      <c r="DE8" s="866">
        <f t="shared" ref="DE8:DE9" si="15">IF(ISBLANK(G8),0,IF(VALUE(LEFT(G8,2))=4,0,AT8))</f>
        <v>0</v>
      </c>
      <c r="DF8" s="866">
        <f t="shared" ref="DF8:DF9" si="16">IF(ISBLANK(G8),0,IF(VALUE(LEFT(G8,2))=4,0,AV8))</f>
        <v>0</v>
      </c>
      <c r="DG8" s="866">
        <f t="shared" ref="DG8:DG9" si="17">IF(ISBLANK(G8),0,IF(VALUE(LEFT(G8,2))=4,0,AX8))</f>
        <v>0</v>
      </c>
      <c r="DH8" s="866">
        <f t="shared" ref="DH8:DH9" si="18">SUM(U8:W8)+SUM(AG8:AJ8)</f>
        <v>0</v>
      </c>
      <c r="DI8" s="866">
        <f t="shared" ref="DI8:DI9" si="19">ROUND((IF(AS8=545,(Z8+AC8+AF8),0)+IF(AU8=545,(Z8+AC8+AF8),0)+IF(AW8=545,(Z8+AC8+AF8),0)),2)</f>
        <v>0</v>
      </c>
      <c r="DJ8" s="866">
        <f t="shared" ref="DJ8:DJ9" si="20">ROUND((IF(AS8=512,Z8,0)+IF(AU8=512,Z8,0)+IF(AW8=512,Z8,0)),2)</f>
        <v>0</v>
      </c>
      <c r="DK8" s="866">
        <f t="shared" ref="DK8:DK9" si="21">Z8+AC8+AF8-DI8-DJ8</f>
        <v>0</v>
      </c>
      <c r="DL8" s="866">
        <f t="shared" ref="DL8:DL9" si="22">SUM(CC8:CH8)+CJ8</f>
        <v>0</v>
      </c>
      <c r="DM8" s="866">
        <f t="shared" ref="DM8:DM9" si="23">CI8</f>
        <v>0</v>
      </c>
      <c r="DN8" s="866">
        <f t="shared" ref="DN8:DN9" si="24">BI8+BR8+CA8</f>
        <v>0</v>
      </c>
      <c r="DO8" s="434"/>
      <c r="DP8" s="863"/>
      <c r="DQ8" s="864" t="s">
        <v>2294</v>
      </c>
      <c r="DR8" s="864" t="s">
        <v>2295</v>
      </c>
      <c r="DS8" s="863"/>
      <c r="DT8" s="863"/>
      <c r="DU8" s="863"/>
      <c r="DV8" s="863"/>
      <c r="DW8" s="863"/>
      <c r="DX8" s="864" t="s">
        <v>1505</v>
      </c>
      <c r="DY8" s="864" t="s">
        <v>2296</v>
      </c>
      <c r="DZ8" s="864"/>
      <c r="EA8" s="863"/>
      <c r="EB8" s="863"/>
      <c r="EC8" s="863"/>
      <c r="ED8" s="863"/>
      <c r="EE8" s="866">
        <v>0</v>
      </c>
      <c r="EF8" s="866">
        <v>0</v>
      </c>
      <c r="EG8" s="866">
        <v>0</v>
      </c>
      <c r="EH8" s="863"/>
      <c r="EI8" s="434"/>
      <c r="EJ8" s="434"/>
      <c r="EK8" s="863"/>
    </row>
    <row r="9" spans="1:142" x14ac:dyDescent="0.25">
      <c r="A9" s="863"/>
      <c r="B9" s="434" t="s">
        <v>2297</v>
      </c>
      <c r="C9" s="863"/>
      <c r="D9" s="434"/>
      <c r="E9" s="864" t="s">
        <v>745</v>
      </c>
      <c r="F9" s="434"/>
      <c r="G9" s="863" t="s">
        <v>1032</v>
      </c>
      <c r="H9" s="864" t="s">
        <v>8</v>
      </c>
      <c r="I9" s="864" t="s">
        <v>8</v>
      </c>
      <c r="J9" s="863"/>
      <c r="K9" s="863"/>
      <c r="L9" s="865">
        <v>46023</v>
      </c>
      <c r="M9" s="865">
        <v>46023</v>
      </c>
      <c r="N9" s="434"/>
      <c r="O9" s="864"/>
      <c r="P9" s="864"/>
      <c r="Q9" s="863"/>
      <c r="R9" s="863"/>
      <c r="S9" s="863"/>
      <c r="T9" s="863" t="s">
        <v>43</v>
      </c>
      <c r="U9" s="866">
        <v>0</v>
      </c>
      <c r="V9" s="866">
        <v>0</v>
      </c>
      <c r="W9" s="866">
        <v>0</v>
      </c>
      <c r="X9" s="866">
        <v>0</v>
      </c>
      <c r="Y9" s="866">
        <v>15</v>
      </c>
      <c r="Z9" s="866">
        <f t="shared" si="0"/>
        <v>0</v>
      </c>
      <c r="AA9" s="866"/>
      <c r="AB9" s="866">
        <v>5</v>
      </c>
      <c r="AC9" s="866">
        <f t="shared" si="1"/>
        <v>0</v>
      </c>
      <c r="AD9" s="866"/>
      <c r="AE9" s="866">
        <v>8</v>
      </c>
      <c r="AF9" s="866">
        <f t="shared" si="2"/>
        <v>0</v>
      </c>
      <c r="AG9" s="866">
        <v>0</v>
      </c>
      <c r="AH9" s="866">
        <v>0</v>
      </c>
      <c r="AI9" s="866">
        <v>0</v>
      </c>
      <c r="AJ9" s="866">
        <v>0</v>
      </c>
      <c r="AK9" s="866">
        <f t="shared" si="3"/>
        <v>0</v>
      </c>
      <c r="AL9" s="866">
        <v>0</v>
      </c>
      <c r="AM9" s="434"/>
      <c r="AN9" s="863"/>
      <c r="AO9" s="863"/>
      <c r="AP9" s="863"/>
      <c r="AQ9" s="863"/>
      <c r="AR9" s="434" t="s">
        <v>1245</v>
      </c>
      <c r="AS9" s="867">
        <v>510</v>
      </c>
      <c r="AT9" s="866">
        <f t="shared" si="4"/>
        <v>0</v>
      </c>
      <c r="AU9" s="867">
        <v>517</v>
      </c>
      <c r="AV9" s="866">
        <f t="shared" si="5"/>
        <v>0</v>
      </c>
      <c r="AW9" s="867">
        <v>542</v>
      </c>
      <c r="AX9" s="866">
        <f t="shared" si="6"/>
        <v>0</v>
      </c>
      <c r="AY9" s="434"/>
      <c r="AZ9" s="866"/>
      <c r="BA9" s="864"/>
      <c r="BB9" s="864"/>
      <c r="BC9" s="863"/>
      <c r="BD9" s="863"/>
      <c r="BE9" s="868"/>
      <c r="BF9" s="869"/>
      <c r="BG9" s="866">
        <f t="shared" si="7"/>
        <v>0</v>
      </c>
      <c r="BH9" s="870">
        <f>IF(ISERROR(VLOOKUP(BF9,Parametros!$C:$J,8,0)),0,VLOOKUP(BF9,Parametros!$C:$J,8,0))</f>
        <v>0</v>
      </c>
      <c r="BI9" s="866">
        <f t="shared" si="8"/>
        <v>0</v>
      </c>
      <c r="BJ9" s="871"/>
      <c r="BK9" s="866">
        <v>0</v>
      </c>
      <c r="BL9" s="434"/>
      <c r="BM9" s="866">
        <v>0</v>
      </c>
      <c r="BN9" s="866">
        <v>0</v>
      </c>
      <c r="BO9" s="869"/>
      <c r="BP9" s="866">
        <f t="shared" si="9"/>
        <v>0</v>
      </c>
      <c r="BQ9" s="870">
        <f>IF(ISERROR(VLOOKUP(BO9,Parametros!$C:$J,8,0)),0,VLOOKUP(BO9,Parametros!$C:$J,8,0))</f>
        <v>0</v>
      </c>
      <c r="BR9" s="866">
        <f t="shared" si="10"/>
        <v>0</v>
      </c>
      <c r="BS9" s="871"/>
      <c r="BT9" s="866">
        <v>0</v>
      </c>
      <c r="BU9" s="434"/>
      <c r="BV9" s="866">
        <v>0</v>
      </c>
      <c r="BW9" s="866">
        <v>0</v>
      </c>
      <c r="BX9" s="869"/>
      <c r="BY9" s="866">
        <f t="shared" si="11"/>
        <v>0</v>
      </c>
      <c r="BZ9" s="870">
        <f>IF(ISERROR(VLOOKUP(BX9,Parametros!$C:$J,8,0)),0,VLOOKUP(BX9,Parametros!$C:$J,8,0))</f>
        <v>0</v>
      </c>
      <c r="CA9" s="866">
        <f t="shared" si="12"/>
        <v>0</v>
      </c>
      <c r="CB9" s="434"/>
      <c r="CC9" s="866">
        <v>0</v>
      </c>
      <c r="CD9" s="866">
        <v>0</v>
      </c>
      <c r="CE9" s="866">
        <v>0</v>
      </c>
      <c r="CF9" s="866">
        <v>0</v>
      </c>
      <c r="CG9" s="866">
        <v>0</v>
      </c>
      <c r="CH9" s="866">
        <v>0</v>
      </c>
      <c r="CI9" s="866">
        <v>0</v>
      </c>
      <c r="CJ9" s="866">
        <v>0</v>
      </c>
      <c r="CK9" s="866">
        <f t="shared" si="13"/>
        <v>0</v>
      </c>
      <c r="CL9" s="863"/>
      <c r="CM9" s="863"/>
      <c r="CN9" s="863"/>
      <c r="CO9" s="434"/>
      <c r="CP9" s="434" t="s">
        <v>2292</v>
      </c>
      <c r="CQ9" s="434"/>
      <c r="CR9" s="434"/>
      <c r="CS9" s="434" t="s">
        <v>2293</v>
      </c>
      <c r="CT9" s="434"/>
      <c r="CU9" s="434"/>
      <c r="CV9" s="863"/>
      <c r="CW9" s="434"/>
      <c r="CX9" s="867"/>
      <c r="CY9" s="867"/>
      <c r="CZ9" s="867"/>
      <c r="DA9" s="434"/>
      <c r="DB9" s="867">
        <f t="shared" si="14"/>
        <v>1</v>
      </c>
      <c r="DC9" s="872" t="str">
        <f>IF(ISNUMBER(M9),IF(ISERROR(HLOOKUP(MONTH(M9),meses_104,1,0)),"NO","SI"),"NO")</f>
        <v>SI</v>
      </c>
      <c r="DD9" s="872" t="str">
        <f>IF(ISNUMBER(M9),IF(ISERROR(HLOOKUP(MONTH(M9),meses_103,1,0)),"NO","SI"),"NO")</f>
        <v>SI</v>
      </c>
      <c r="DE9" s="866">
        <f t="shared" si="15"/>
        <v>0</v>
      </c>
      <c r="DF9" s="866">
        <f t="shared" si="16"/>
        <v>0</v>
      </c>
      <c r="DG9" s="866">
        <f t="shared" si="17"/>
        <v>0</v>
      </c>
      <c r="DH9" s="866">
        <f t="shared" si="18"/>
        <v>0</v>
      </c>
      <c r="DI9" s="866">
        <f t="shared" si="19"/>
        <v>0</v>
      </c>
      <c r="DJ9" s="866">
        <f t="shared" si="20"/>
        <v>0</v>
      </c>
      <c r="DK9" s="866">
        <f t="shared" si="21"/>
        <v>0</v>
      </c>
      <c r="DL9" s="866">
        <f t="shared" si="22"/>
        <v>0</v>
      </c>
      <c r="DM9" s="866">
        <f t="shared" si="23"/>
        <v>0</v>
      </c>
      <c r="DN9" s="866">
        <f t="shared" si="24"/>
        <v>0</v>
      </c>
      <c r="DO9" s="434"/>
      <c r="DP9" s="863"/>
      <c r="DQ9" s="864" t="s">
        <v>2294</v>
      </c>
      <c r="DR9" s="864" t="s">
        <v>2295</v>
      </c>
      <c r="DS9" s="863"/>
      <c r="DT9" s="863"/>
      <c r="DU9" s="863"/>
      <c r="DV9" s="863"/>
      <c r="DW9" s="863"/>
      <c r="DX9" s="864" t="s">
        <v>1505</v>
      </c>
      <c r="DY9" s="864" t="s">
        <v>2296</v>
      </c>
      <c r="DZ9" s="864"/>
      <c r="EA9" s="863"/>
      <c r="EB9" s="863"/>
      <c r="EC9" s="863"/>
      <c r="ED9" s="863"/>
      <c r="EE9" s="866">
        <v>0</v>
      </c>
      <c r="EF9" s="866">
        <v>0</v>
      </c>
      <c r="EG9" s="866">
        <v>0</v>
      </c>
      <c r="EH9" s="863"/>
      <c r="EI9" s="434"/>
      <c r="EJ9" s="434"/>
      <c r="EK9" s="863"/>
    </row>
  </sheetData>
  <autoFilter ref="A6:EL6" xr:uid="{8AA16ABB-469A-45DD-A272-F745DF90E6AC}"/>
  <mergeCells count="81">
    <mergeCell ref="DL5:DL6"/>
    <mergeCell ref="AB5:AB6"/>
    <mergeCell ref="AN5:AN6"/>
    <mergeCell ref="T5:T6"/>
    <mergeCell ref="Y5:Y6"/>
    <mergeCell ref="CL5:CN5"/>
    <mergeCell ref="CZ5:CZ6"/>
    <mergeCell ref="DB5:DB6"/>
    <mergeCell ref="DC5:DC6"/>
    <mergeCell ref="DD5:DD6"/>
    <mergeCell ref="DH5:DH6"/>
    <mergeCell ref="DE5:DE6"/>
    <mergeCell ref="DF5:DF6"/>
    <mergeCell ref="DG5:DG6"/>
    <mergeCell ref="DI5:DI6"/>
    <mergeCell ref="DK5:DK6"/>
    <mergeCell ref="M5:M6"/>
    <mergeCell ref="N5:N6"/>
    <mergeCell ref="O5:O6"/>
    <mergeCell ref="P5:P6"/>
    <mergeCell ref="R5:R6"/>
    <mergeCell ref="Q5:Q6"/>
    <mergeCell ref="L5:L6"/>
    <mergeCell ref="B5:B6"/>
    <mergeCell ref="A5:A6"/>
    <mergeCell ref="C5:C6"/>
    <mergeCell ref="D5:D6"/>
    <mergeCell ref="E5:E6"/>
    <mergeCell ref="F5:F6"/>
    <mergeCell ref="G5:G6"/>
    <mergeCell ref="H5:H6"/>
    <mergeCell ref="I5:I6"/>
    <mergeCell ref="J5:J6"/>
    <mergeCell ref="K5:K6"/>
    <mergeCell ref="DM5:DM6"/>
    <mergeCell ref="DN5:DN6"/>
    <mergeCell ref="EI5:EI6"/>
    <mergeCell ref="EK5:EK6"/>
    <mergeCell ref="DP5:DV5"/>
    <mergeCell ref="DW5:ED5"/>
    <mergeCell ref="EE5:EE6"/>
    <mergeCell ref="EF5:EF6"/>
    <mergeCell ref="EG5:EG6"/>
    <mergeCell ref="EH5:EH6"/>
    <mergeCell ref="DJ5:DJ6"/>
    <mergeCell ref="BQ5:BQ6"/>
    <mergeCell ref="BS5:BS6"/>
    <mergeCell ref="BU5:BU6"/>
    <mergeCell ref="BV5:BV6"/>
    <mergeCell ref="CY5:CY6"/>
    <mergeCell ref="BX5:BX6"/>
    <mergeCell ref="BZ5:BZ6"/>
    <mergeCell ref="CP5:CP6"/>
    <mergeCell ref="CQ5:CQ6"/>
    <mergeCell ref="CR5:CR6"/>
    <mergeCell ref="CS5:CS6"/>
    <mergeCell ref="CT5:CT6"/>
    <mergeCell ref="CU5:CU6"/>
    <mergeCell ref="CV5:CV6"/>
    <mergeCell ref="CW5:CW6"/>
    <mergeCell ref="CX5:CX6"/>
    <mergeCell ref="BJ5:BJ6"/>
    <mergeCell ref="BL5:BL6"/>
    <mergeCell ref="BM5:BM6"/>
    <mergeCell ref="BN5:BN6"/>
    <mergeCell ref="BO5:BO6"/>
    <mergeCell ref="BW5:BW6"/>
    <mergeCell ref="AE5:AE6"/>
    <mergeCell ref="BF5:BF6"/>
    <mergeCell ref="BH5:BH6"/>
    <mergeCell ref="AO5:AQ5"/>
    <mergeCell ref="BE5:BE6"/>
    <mergeCell ref="AZ5:AZ6"/>
    <mergeCell ref="BA5:BA6"/>
    <mergeCell ref="BB5:BB6"/>
    <mergeCell ref="BC5:BC6"/>
    <mergeCell ref="BD5:BD6"/>
    <mergeCell ref="AS5:AS6"/>
    <mergeCell ref="AU5:AU6"/>
    <mergeCell ref="AW5:AW6"/>
    <mergeCell ref="AR5:AR6"/>
  </mergeCells>
  <phoneticPr fontId="55" type="noConversion"/>
  <conditionalFormatting sqref="DQ7:DQ29">
    <cfRule type="expression" dxfId="8" priority="52">
      <formula>ROW()=RowVEN</formula>
    </cfRule>
  </conditionalFormatting>
  <dataValidations count="21">
    <dataValidation type="textLength" errorStyle="warning" operator="equal" allowBlank="1" showInputMessage="1" showErrorMessage="1" errorTitle="Validación de datos" error="Debe ingresar los 10 caracteres correspondientes en cada celda ó dejarla vacia de ser el caso." sqref="BD5 K5 R5" xr:uid="{00000000-0002-0000-0100-000002000000}">
      <formula1>10</formula1>
    </dataValidation>
    <dataValidation type="textLength" errorStyle="warning" operator="equal" allowBlank="1" showInputMessage="1" showErrorMessage="1" errorTitle="Validación de datos" error="Debe ingresar los 3 caracteres correspondientes en cada celda ó dejarla vacia de ser el caso." sqref="BA5:BB5 H5:I5 O5:P5 H7:I1048576 BA7:BB1048576 O7:P1048576" xr:uid="{00000000-0002-0000-0100-000003000000}">
      <formula1>3</formula1>
    </dataValidation>
    <dataValidation type="textLength" errorStyle="warning" allowBlank="1" showInputMessage="1" showErrorMessage="1" errorTitle="Validación de datos" error="Debe ingresar los 10 o 37 o 49 caracteres correspondientes en cada celda ó dejarla vacia de ser el caso." sqref="K1 K7:K1048576 BD7:BD1048576 R7:R1048576" xr:uid="{00000000-0002-0000-0100-000004000000}">
      <formula1>10</formula1>
      <formula2>49</formula2>
    </dataValidation>
    <dataValidation type="list" allowBlank="1" showInputMessage="1" showErrorMessage="1" sqref="CQ7:CR1048576" xr:uid="{00000000-0002-0000-0100-000000000000}">
      <formula1>pagos</formula1>
    </dataValidation>
    <dataValidation type="list" allowBlank="1" showInputMessage="1" showErrorMessage="1" sqref="CS7:CS1048576" xr:uid="{00000000-0002-0000-0100-000008000000}">
      <formula1>"01-REGIMEN GENERAL,02-PARAISO FISCAL,03-REGIMEN FISCAL PREFERENTE"</formula1>
    </dataValidation>
    <dataValidation type="list" allowBlank="1" showInputMessage="1" showErrorMessage="1" sqref="CX7:CZ1048576" xr:uid="{00000000-0002-0000-0100-00000A000000}">
      <formula1>"SI,NO,NA"</formula1>
    </dataValidation>
    <dataValidation type="list" allowBlank="1" showInputMessage="1" showErrorMessage="1" sqref="CP7:CP1048576" xr:uid="{00000000-0002-0000-0100-00000B000000}">
      <formula1>"01-PAGO A RESIDENTE,02-PAGO A NO RESIDENTE"</formula1>
    </dataValidation>
    <dataValidation type="list" allowBlank="1" showInputMessage="1" showErrorMessage="1" sqref="D7:D1048576" xr:uid="{00000000-0002-0000-0100-00000C000000}">
      <formula1>"01-Persona Natural,02-Sociedad"</formula1>
    </dataValidation>
    <dataValidation type="list" allowBlank="1" showInputMessage="1" showErrorMessage="1" errorTitle="Anexos con Excel" error="Debe seleccionar 8 o 12 o 14" sqref="Y7:Y1048576 AB7:AB1048576 AE7:AE1048576" xr:uid="{5B11FB6B-CEB2-470F-8BD0-7FCB88957635}">
      <formula1>tarifasIVA</formula1>
    </dataValidation>
    <dataValidation type="list" allowBlank="1" showInputMessage="1" showErrorMessage="1" sqref="T7:T1048576" xr:uid="{00000000-0002-0000-0100-00000F000000}">
      <formula1>sustentos</formula1>
    </dataValidation>
    <dataValidation type="list" allowBlank="1" showInputMessage="1" showErrorMessage="1" sqref="N7:N1048576 G7:G1048576" xr:uid="{00000000-0002-0000-0100-000010000000}">
      <formula1>ComprobantesCOM</formula1>
    </dataValidation>
    <dataValidation type="list" allowBlank="1" showInputMessage="1" showErrorMessage="1" sqref="E7:E1048576" xr:uid="{00000000-0002-0000-0100-000011000000}">
      <formula1>"SI,NO"</formula1>
    </dataValidation>
    <dataValidation type="list" allowBlank="1" showInputMessage="1" showErrorMessage="1" sqref="F7:F1048576" xr:uid="{00000000-0002-0000-0100-000012000000}">
      <formula1>"F-Fisico,E-Electronico"</formula1>
    </dataValidation>
    <dataValidation type="list" allowBlank="1" showInputMessage="1" showErrorMessage="1" sqref="AZ7:AZ1048576" xr:uid="{00000000-0002-0000-0100-000013000000}">
      <formula1>"F-Fisico,E-Electronico(v1.0),E-Electronico(v2.0)"</formula1>
    </dataValidation>
    <dataValidation type="list" allowBlank="1" showInputMessage="1" showErrorMessage="1" sqref="AR7:AR1048576" xr:uid="{819E45BD-2B05-4D77-930C-81623DAD31B5}">
      <formula1>ListaActividades</formula1>
    </dataValidation>
    <dataValidation type="list" allowBlank="1" showInputMessage="1" showErrorMessage="1" sqref="BF7:BF1048576 BO7:BO1048576 BX7:BX1048576" xr:uid="{C7E0E9D0-9CE8-47F8-BBC2-3ECD08072F91}">
      <formula1>Retenciones</formula1>
    </dataValidation>
    <dataValidation type="list" allowBlank="1" showInputMessage="1" showErrorMessage="1" sqref="AO7:AO1048576" xr:uid="{7D127E6F-4F4C-473E-BF5A-83796DCABEC2}">
      <formula1>gruContableGAS</formula1>
    </dataValidation>
    <dataValidation type="list" allowBlank="1" showInputMessage="1" showErrorMessage="1" sqref="B7:B1048576" xr:uid="{00000000-0002-0000-0100-00000D000000}">
      <formula1>"R-Ruc,C-Cédula,P-Pasaporte,E-ID Exterior"</formula1>
    </dataValidation>
    <dataValidation type="list" allowBlank="1" showInputMessage="1" showErrorMessage="1" sqref="CT7:CT1048576" xr:uid="{8671FD53-0A32-4036-8EF6-D992D24D61DA}">
      <formula1>IF($CS7="01-REGIMEN GENERAL",paises,"")</formula1>
    </dataValidation>
    <dataValidation type="list" allowBlank="1" showInputMessage="1" showErrorMessage="1" sqref="CU7:CU1048576" xr:uid="{9E82CE70-2EC8-48CD-A958-E6B5088761AC}">
      <formula1>IF($CS7="02-PARAISO FISCAL",paises17a,"")</formula1>
    </dataValidation>
    <dataValidation type="list" allowBlank="1" showInputMessage="1" showErrorMessage="1" sqref="CW7:CW1048576" xr:uid="{00897259-8058-4A9E-9E64-2E2C3536D819}">
      <formula1>IF($CS7="02-PARAISO FISCAL",paises17b,IF($CS7="01-REGIMEN GENERAL",$CT7,paises))</formula1>
    </dataValidation>
  </dataValidations>
  <pageMargins left="0.7" right="0.7" top="0.75" bottom="0.75" header="0.3" footer="0.3"/>
  <pageSetup paperSize="9" orientation="portrait"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1:CV9"/>
  <sheetViews>
    <sheetView showGridLines="0" zoomScaleNormal="100" workbookViewId="0">
      <pane xSplit="3" ySplit="6" topLeftCell="E7" activePane="bottomRight" state="frozen"/>
      <selection activeCell="D7" sqref="D7"/>
      <selection pane="topRight" activeCell="D7" sqref="D7"/>
      <selection pane="bottomLeft" activeCell="D7" sqref="D7"/>
      <selection pane="bottomRight" activeCell="E7" sqref="E7"/>
    </sheetView>
  </sheetViews>
  <sheetFormatPr baseColWidth="10" defaultColWidth="10.81640625" defaultRowHeight="11.5" outlineLevelCol="1" x14ac:dyDescent="0.25"/>
  <cols>
    <col min="1" max="1" width="15" style="350" customWidth="1"/>
    <col min="2" max="2" width="8.81640625" style="333" customWidth="1"/>
    <col min="3" max="3" width="25.1796875" style="350" customWidth="1"/>
    <col min="4" max="4" width="19.7265625" style="333" hidden="1" customWidth="1" outlineLevel="1"/>
    <col min="5" max="5" width="8" style="351" customWidth="1" collapsed="1"/>
    <col min="6" max="6" width="9.26953125" style="431" customWidth="1"/>
    <col min="7" max="7" width="12.453125" style="333" customWidth="1"/>
    <col min="8" max="8" width="20.7265625" style="333" customWidth="1"/>
    <col min="9" max="9" width="12" style="352" customWidth="1"/>
    <col min="10" max="10" width="7.26953125" style="368" customWidth="1"/>
    <col min="11" max="11" width="16" style="350" customWidth="1"/>
    <col min="12" max="12" width="17.7265625" style="350" hidden="1" customWidth="1" outlineLevel="1"/>
    <col min="13" max="13" width="11.453125" style="353" customWidth="1" collapsed="1"/>
    <col min="14" max="14" width="10.81640625" style="353" hidden="1" customWidth="1" outlineLevel="1"/>
    <col min="15" max="15" width="10.81640625" style="353" collapsed="1"/>
    <col min="16" max="16" width="12" style="353" customWidth="1"/>
    <col min="17" max="17" width="7.81640625" style="353" customWidth="1"/>
    <col min="18" max="18" width="10.81640625" style="353"/>
    <col min="19" max="19" width="12" style="353" customWidth="1"/>
    <col min="20" max="20" width="7.81640625" style="353" customWidth="1"/>
    <col min="21" max="21" width="10.81640625" style="353"/>
    <col min="22" max="22" width="12" style="353" customWidth="1"/>
    <col min="23" max="23" width="7.81640625" style="353" customWidth="1"/>
    <col min="24" max="24" width="10.81640625" style="353"/>
    <col min="25" max="27" width="11.453125" style="353" hidden="1" customWidth="1" outlineLevel="1"/>
    <col min="28" max="28" width="12.26953125" style="353" customWidth="1" collapsed="1"/>
    <col min="29" max="29" width="11.453125" style="353" hidden="1" customWidth="1" outlineLevel="1"/>
    <col min="30" max="30" width="1.7265625" style="333" customWidth="1" collapsed="1"/>
    <col min="31" max="31" width="13.54296875" style="350" hidden="1" customWidth="1" outlineLevel="1"/>
    <col min="32" max="32" width="20.7265625" style="353" hidden="1" customWidth="1" outlineLevel="1"/>
    <col min="33" max="33" width="11.453125" style="545" hidden="1" customWidth="1" outlineLevel="1"/>
    <col min="34" max="34" width="7.453125" style="350" hidden="1" customWidth="1" outlineLevel="1"/>
    <col min="35" max="35" width="27.7265625" style="333" customWidth="1" collapsed="1"/>
    <col min="36" max="36" width="6.54296875" style="431" customWidth="1"/>
    <col min="37" max="37" width="11.81640625" style="353" customWidth="1"/>
    <col min="38" max="38" width="6.54296875" style="431" customWidth="1"/>
    <col min="39" max="39" width="11.81640625" style="353" customWidth="1"/>
    <col min="40" max="40" width="6.54296875" style="431" customWidth="1"/>
    <col min="41" max="41" width="11.81640625" style="353" customWidth="1"/>
    <col min="42" max="42" width="1.1796875" style="333" customWidth="1"/>
    <col min="43" max="43" width="14.26953125" style="333" customWidth="1"/>
    <col min="44" max="45" width="10.81640625" style="353" customWidth="1"/>
    <col min="46" max="46" width="10.81640625" style="353" hidden="1" customWidth="1" outlineLevel="1"/>
    <col min="47" max="47" width="16.1796875" style="350" customWidth="1" collapsed="1"/>
    <col min="48" max="48" width="13.1796875" style="352" hidden="1" customWidth="1" outlineLevel="1"/>
    <col min="49" max="49" width="18.453125" style="350" hidden="1" customWidth="1" outlineLevel="1"/>
    <col min="50" max="50" width="22.453125" style="352" hidden="1" customWidth="1" outlineLevel="1"/>
    <col min="51" max="51" width="12.26953125" style="350" hidden="1" customWidth="1" outlineLevel="1"/>
    <col min="52" max="52" width="7.453125" style="350" hidden="1" customWidth="1" outlineLevel="1"/>
    <col min="53" max="53" width="1.81640625" style="333" customWidth="1" collapsed="1"/>
    <col min="54" max="54" width="22.26953125" style="333" customWidth="1"/>
    <col min="55" max="55" width="22.26953125" style="333" hidden="1" customWidth="1" outlineLevel="1"/>
    <col min="56" max="56" width="1.81640625" style="333" customWidth="1" collapsed="1"/>
    <col min="57" max="57" width="7" style="351" customWidth="1"/>
    <col min="58" max="58" width="8.26953125" style="351" customWidth="1"/>
    <col min="59" max="64" width="11.453125" style="353" hidden="1" customWidth="1" outlineLevel="1"/>
    <col min="65" max="65" width="1.81640625" style="333" customWidth="1" collapsed="1"/>
    <col min="66" max="66" width="20.453125" style="350" hidden="1" customWidth="1" outlineLevel="1"/>
    <col min="67" max="67" width="9.54296875" style="368" hidden="1" customWidth="1" outlineLevel="1"/>
    <col min="68" max="69" width="9.81640625" style="368" hidden="1" customWidth="1" outlineLevel="1"/>
    <col min="70" max="73" width="27.7265625" style="350" hidden="1" customWidth="1" outlineLevel="1"/>
    <col min="74" max="74" width="29.1796875" style="350" hidden="1" customWidth="1" outlineLevel="1"/>
    <col min="75" max="75" width="12" style="353" hidden="1" customWidth="1" outlineLevel="1"/>
    <col min="76" max="76" width="9.81640625" style="350" hidden="1" customWidth="1" outlineLevel="1"/>
    <col min="77" max="77" width="11.54296875" style="350" hidden="1" customWidth="1" outlineLevel="1"/>
    <col min="78" max="78" width="12.26953125" style="470" hidden="1" customWidth="1" outlineLevel="1"/>
    <col min="79" max="79" width="11.453125" style="353" hidden="1" customWidth="1" outlineLevel="1"/>
    <col min="80" max="80" width="29.81640625" style="350" customWidth="1" collapsed="1"/>
    <col min="81" max="81" width="2" style="333" customWidth="1"/>
    <col min="82" max="87" width="9.7265625" style="353" hidden="1" customWidth="1" outlineLevel="1"/>
    <col min="88" max="99" width="11.1796875" style="353" hidden="1" customWidth="1" outlineLevel="1"/>
    <col min="100" max="100" width="3.1796875" style="333" customWidth="1" collapsed="1"/>
    <col min="101" max="16384" width="10.81640625" style="333"/>
  </cols>
  <sheetData>
    <row r="1" spans="1:99" ht="20.149999999999999" customHeight="1" x14ac:dyDescent="0.25">
      <c r="A1" s="372" t="str">
        <f>Parametros!D4&amp;" - "&amp;Parametros!D5</f>
        <v>1306304542001 - VELIZ NAPA JAVIER</v>
      </c>
      <c r="B1" s="325"/>
      <c r="C1" s="322"/>
      <c r="D1" s="322"/>
      <c r="E1" s="323"/>
      <c r="F1" s="429"/>
      <c r="G1" s="322"/>
      <c r="H1" s="322"/>
      <c r="I1" s="324"/>
      <c r="J1" s="323"/>
      <c r="K1" s="322"/>
      <c r="L1" s="322"/>
      <c r="M1" s="322"/>
      <c r="N1" s="322"/>
      <c r="O1" s="326"/>
      <c r="P1" s="326"/>
      <c r="Q1" s="326"/>
      <c r="R1" s="326"/>
      <c r="S1" s="326"/>
      <c r="T1" s="326"/>
      <c r="U1" s="326"/>
      <c r="V1" s="326"/>
      <c r="W1" s="326"/>
      <c r="X1" s="326"/>
      <c r="Y1" s="326"/>
      <c r="Z1" s="326"/>
      <c r="AA1" s="326"/>
      <c r="AB1" s="326"/>
      <c r="AC1" s="326"/>
      <c r="AD1" s="540"/>
      <c r="AE1" s="322"/>
      <c r="AF1" s="326"/>
      <c r="AG1" s="367"/>
      <c r="AH1" s="367"/>
      <c r="AI1" s="322"/>
      <c r="AJ1" s="429"/>
      <c r="AK1" s="326"/>
      <c r="AL1" s="429"/>
      <c r="AM1" s="326"/>
      <c r="AN1" s="432"/>
      <c r="AO1" s="326"/>
      <c r="AP1" s="540"/>
      <c r="AQ1" s="332"/>
      <c r="AR1" s="326"/>
      <c r="AS1" s="326"/>
      <c r="AT1" s="326"/>
      <c r="AU1" s="367"/>
      <c r="AV1" s="644"/>
      <c r="AW1" s="367"/>
      <c r="AX1" s="332"/>
      <c r="AY1" s="367"/>
      <c r="AZ1" s="367"/>
      <c r="BA1" s="540"/>
      <c r="BB1" s="332"/>
      <c r="BC1" s="332"/>
      <c r="BD1" s="540"/>
      <c r="BE1" s="321"/>
      <c r="BF1" s="321"/>
      <c r="BG1" s="326"/>
      <c r="BH1" s="327"/>
      <c r="BI1" s="326"/>
      <c r="BJ1" s="326"/>
      <c r="BK1" s="326"/>
      <c r="BL1" s="326"/>
      <c r="BM1" s="540"/>
      <c r="BN1" s="322"/>
      <c r="BO1" s="323"/>
      <c r="BP1" s="323"/>
      <c r="BQ1" s="323"/>
      <c r="BW1" s="326"/>
      <c r="BX1" s="322"/>
      <c r="BY1" s="322"/>
      <c r="BZ1" s="469"/>
      <c r="CA1" s="326"/>
      <c r="CB1" s="322"/>
      <c r="CC1" s="332"/>
      <c r="CD1" s="326"/>
      <c r="CE1" s="326"/>
      <c r="CF1" s="326"/>
      <c r="CG1" s="326"/>
      <c r="CH1" s="326"/>
      <c r="CI1" s="326"/>
      <c r="CJ1" s="326"/>
      <c r="CK1" s="326"/>
      <c r="CL1" s="326"/>
      <c r="CM1" s="326"/>
      <c r="CN1" s="326"/>
      <c r="CO1" s="326"/>
      <c r="CP1" s="326"/>
      <c r="CQ1" s="326"/>
      <c r="CR1" s="326"/>
      <c r="CS1" s="326"/>
      <c r="CT1" s="326"/>
      <c r="CU1" s="326"/>
    </row>
    <row r="2" spans="1:99" ht="19.5" customHeight="1" thickBot="1" x14ac:dyDescent="0.3">
      <c r="A2" s="373" t="s">
        <v>1190</v>
      </c>
      <c r="B2" s="334"/>
      <c r="C2" s="334"/>
      <c r="D2" s="334"/>
      <c r="E2" s="323"/>
      <c r="F2" s="429"/>
      <c r="G2" s="322"/>
      <c r="H2" s="322"/>
      <c r="I2" s="324"/>
      <c r="J2" s="323"/>
      <c r="K2" s="322"/>
      <c r="L2" s="322"/>
      <c r="M2" s="322"/>
      <c r="N2" s="322"/>
      <c r="O2" s="326"/>
      <c r="P2" s="326"/>
      <c r="Q2" s="326"/>
      <c r="R2" s="326"/>
      <c r="S2" s="326"/>
      <c r="T2" s="326"/>
      <c r="U2" s="326"/>
      <c r="V2" s="326"/>
      <c r="W2" s="326"/>
      <c r="X2" s="326"/>
      <c r="Y2" s="326"/>
      <c r="Z2" s="326"/>
      <c r="AA2" s="326"/>
      <c r="AB2" s="326"/>
      <c r="AC2" s="326"/>
      <c r="AD2" s="540"/>
      <c r="AE2" s="322"/>
      <c r="AF2" s="326"/>
      <c r="AG2" s="367"/>
      <c r="AH2" s="367"/>
      <c r="AI2" s="322"/>
      <c r="AJ2" s="429"/>
      <c r="AK2" s="326"/>
      <c r="AL2" s="429"/>
      <c r="AM2" s="326"/>
      <c r="AN2" s="432"/>
      <c r="AO2" s="326"/>
      <c r="AP2" s="540"/>
      <c r="AQ2" s="332"/>
      <c r="AR2" s="326"/>
      <c r="AS2" s="326"/>
      <c r="AT2" s="326"/>
      <c r="AU2" s="367"/>
      <c r="AV2" s="644"/>
      <c r="AW2" s="367"/>
      <c r="AX2" s="332"/>
      <c r="AY2" s="367"/>
      <c r="AZ2" s="367"/>
      <c r="BA2" s="540"/>
      <c r="BB2" s="332"/>
      <c r="BC2" s="332"/>
      <c r="BD2" s="540"/>
      <c r="BE2" s="321"/>
      <c r="BF2" s="321"/>
      <c r="BG2" s="326"/>
      <c r="BH2" s="327"/>
      <c r="BI2" s="326"/>
      <c r="BJ2" s="326"/>
      <c r="BK2" s="326"/>
      <c r="BL2" s="326"/>
      <c r="BM2" s="540"/>
      <c r="BR2" s="322" t="s">
        <v>1668</v>
      </c>
      <c r="BS2" s="322" t="s">
        <v>1669</v>
      </c>
      <c r="BT2" s="322" t="s">
        <v>1672</v>
      </c>
      <c r="BU2" s="322" t="s">
        <v>1671</v>
      </c>
      <c r="BV2" s="322" t="s">
        <v>1873</v>
      </c>
      <c r="BW2" s="326"/>
      <c r="BX2" s="322"/>
      <c r="BY2" s="322" t="s">
        <v>1875</v>
      </c>
      <c r="BZ2" s="469"/>
      <c r="CA2" s="326"/>
      <c r="CB2" s="322"/>
      <c r="CC2" s="332"/>
      <c r="CD2" s="326"/>
      <c r="CE2" s="326"/>
      <c r="CF2" s="326"/>
      <c r="CG2" s="326"/>
      <c r="CH2" s="326"/>
      <c r="CI2" s="326"/>
      <c r="CJ2" s="326"/>
      <c r="CK2" s="326"/>
      <c r="CL2" s="326"/>
      <c r="CM2" s="326"/>
      <c r="CN2" s="326"/>
      <c r="CO2" s="326"/>
      <c r="CP2" s="326"/>
      <c r="CQ2" s="326"/>
      <c r="CR2" s="326"/>
      <c r="CS2" s="326"/>
      <c r="CT2" s="326"/>
      <c r="CU2" s="326"/>
    </row>
    <row r="3" spans="1:99" s="344" customFormat="1" ht="16" hidden="1" customHeight="1" thickBot="1" x14ac:dyDescent="0.3">
      <c r="A3" s="336"/>
      <c r="B3" s="369"/>
      <c r="C3" s="338"/>
      <c r="D3" s="338"/>
      <c r="E3" s="338"/>
      <c r="F3" s="430"/>
      <c r="G3" s="338"/>
      <c r="H3" s="338"/>
      <c r="I3" s="339"/>
      <c r="J3" s="338"/>
      <c r="K3" s="338"/>
      <c r="L3" s="338"/>
      <c r="M3" s="340"/>
      <c r="N3" s="340"/>
      <c r="O3" s="340"/>
      <c r="P3" s="340"/>
      <c r="Q3" s="340"/>
      <c r="R3" s="340"/>
      <c r="S3" s="340"/>
      <c r="T3" s="340"/>
      <c r="U3" s="340"/>
      <c r="V3" s="340"/>
      <c r="W3" s="340"/>
      <c r="X3" s="340"/>
      <c r="Y3" s="340"/>
      <c r="Z3" s="340"/>
      <c r="AA3" s="340"/>
      <c r="AB3" s="340"/>
      <c r="AC3" s="340"/>
      <c r="AD3" s="541"/>
      <c r="AE3" s="338"/>
      <c r="AF3" s="340"/>
      <c r="AG3" s="336"/>
      <c r="AH3" s="336"/>
      <c r="AI3" s="338"/>
      <c r="AJ3" s="430"/>
      <c r="AK3" s="340"/>
      <c r="AL3" s="430"/>
      <c r="AM3" s="340"/>
      <c r="AN3" s="433"/>
      <c r="AO3" s="340"/>
      <c r="AP3" s="541"/>
      <c r="AQ3" s="341"/>
      <c r="AR3" s="340"/>
      <c r="AS3" s="340"/>
      <c r="AT3" s="340"/>
      <c r="AU3" s="336"/>
      <c r="AV3" s="339"/>
      <c r="AW3" s="336"/>
      <c r="AX3" s="339"/>
      <c r="AY3" s="338"/>
      <c r="AZ3" s="336"/>
      <c r="BA3" s="541"/>
      <c r="BB3" s="341"/>
      <c r="BC3" s="341"/>
      <c r="BD3" s="541"/>
      <c r="BE3" s="337"/>
      <c r="BF3" s="337"/>
      <c r="BG3" s="340"/>
      <c r="BH3" s="340"/>
      <c r="BI3" s="340"/>
      <c r="BJ3" s="340"/>
      <c r="BK3" s="340"/>
      <c r="BL3" s="340"/>
      <c r="BM3" s="541"/>
      <c r="BN3" s="465"/>
      <c r="BO3" s="376"/>
      <c r="BP3" s="323"/>
      <c r="BQ3" s="323"/>
      <c r="BR3" s="465"/>
      <c r="BS3" s="465"/>
      <c r="BT3" s="465"/>
      <c r="BU3" s="465"/>
      <c r="BV3" s="465"/>
      <c r="BW3" s="326"/>
      <c r="BX3" s="338"/>
      <c r="BY3" s="338"/>
      <c r="BZ3" s="430"/>
      <c r="CA3" s="340"/>
      <c r="CB3" s="338"/>
      <c r="CC3" s="341"/>
      <c r="CD3" s="340"/>
      <c r="CE3" s="340"/>
      <c r="CF3" s="340"/>
      <c r="CG3" s="340"/>
      <c r="CH3" s="340"/>
      <c r="CI3" s="340"/>
      <c r="CJ3" s="340"/>
      <c r="CK3" s="340"/>
      <c r="CL3" s="340"/>
      <c r="CM3" s="340"/>
      <c r="CN3" s="340"/>
      <c r="CO3" s="340"/>
      <c r="CP3" s="340"/>
      <c r="CQ3" s="340"/>
      <c r="CR3" s="340"/>
      <c r="CS3" s="340"/>
      <c r="CT3" s="340"/>
      <c r="CU3" s="340"/>
    </row>
    <row r="4" spans="1:99" s="615" customFormat="1" ht="14.5" customHeight="1" x14ac:dyDescent="0.25">
      <c r="A4" s="370"/>
      <c r="B4" s="371" t="str">
        <f>"# Registros VENTAS : " &amp; COUNTIF(I:I,"&gt;0")</f>
        <v># Registros VENTAS : 3</v>
      </c>
      <c r="C4" s="595" t="s">
        <v>2119</v>
      </c>
      <c r="D4" s="596"/>
      <c r="E4" s="599" t="s">
        <v>2118</v>
      </c>
      <c r="F4" s="640"/>
      <c r="G4" s="601"/>
      <c r="H4" s="601"/>
      <c r="I4" s="619"/>
      <c r="J4" s="619"/>
      <c r="K4" s="619"/>
      <c r="L4" s="619"/>
      <c r="M4" s="599" t="s">
        <v>2123</v>
      </c>
      <c r="N4" s="537"/>
      <c r="O4" s="537"/>
      <c r="P4" s="600"/>
      <c r="Q4" s="599"/>
      <c r="R4" s="537"/>
      <c r="S4" s="600"/>
      <c r="T4" s="599"/>
      <c r="U4" s="537"/>
      <c r="V4" s="600"/>
      <c r="W4" s="599"/>
      <c r="X4" s="537"/>
      <c r="Y4" s="537"/>
      <c r="Z4" s="537"/>
      <c r="AA4" s="537"/>
      <c r="AB4" s="537"/>
      <c r="AC4" s="600"/>
      <c r="AD4" s="602"/>
      <c r="AE4" s="603"/>
      <c r="AF4" s="641" t="s">
        <v>1980</v>
      </c>
      <c r="AG4" s="642"/>
      <c r="AH4" s="643"/>
      <c r="AI4" s="597"/>
      <c r="AJ4" s="604" t="s">
        <v>1959</v>
      </c>
      <c r="AK4" s="537"/>
      <c r="AL4" s="605"/>
      <c r="AM4" s="537"/>
      <c r="AN4" s="605"/>
      <c r="AO4" s="600"/>
      <c r="AP4" s="602"/>
      <c r="AQ4" s="594" t="s">
        <v>2115</v>
      </c>
      <c r="AR4" s="537"/>
      <c r="AS4" s="600"/>
      <c r="AT4" s="600"/>
      <c r="AU4" s="601"/>
      <c r="AV4" s="619"/>
      <c r="AW4" s="601"/>
      <c r="AX4" s="594" t="s">
        <v>1980</v>
      </c>
      <c r="AY4" s="601"/>
      <c r="AZ4" s="606"/>
      <c r="BA4" s="602"/>
      <c r="BB4" s="594" t="s">
        <v>1277</v>
      </c>
      <c r="BC4" s="607"/>
      <c r="BD4" s="602"/>
      <c r="BE4" s="608" t="s">
        <v>679</v>
      </c>
      <c r="BF4" s="608" t="s">
        <v>679</v>
      </c>
      <c r="BG4" s="609" t="s">
        <v>679</v>
      </c>
      <c r="BH4" s="609" t="s">
        <v>679</v>
      </c>
      <c r="BI4" s="609" t="s">
        <v>679</v>
      </c>
      <c r="BJ4" s="609" t="s">
        <v>679</v>
      </c>
      <c r="BK4" s="609" t="s">
        <v>679</v>
      </c>
      <c r="BL4" s="609" t="s">
        <v>679</v>
      </c>
      <c r="BM4" s="602"/>
      <c r="BN4" s="603"/>
      <c r="BO4" s="610"/>
      <c r="BP4" s="611"/>
      <c r="BQ4" s="611"/>
      <c r="BR4" s="603"/>
      <c r="BS4" s="603"/>
      <c r="BT4" s="603"/>
      <c r="BU4" s="603"/>
      <c r="BV4" s="603"/>
      <c r="BW4" s="327"/>
      <c r="BX4" s="603"/>
      <c r="BY4" s="603"/>
      <c r="BZ4" s="612"/>
      <c r="CA4" s="609" t="s">
        <v>679</v>
      </c>
      <c r="CB4" s="598"/>
      <c r="CC4" s="614"/>
      <c r="CD4" s="1324" t="s">
        <v>1121</v>
      </c>
      <c r="CE4" s="1325"/>
      <c r="CF4" s="1325"/>
      <c r="CG4" s="1325"/>
      <c r="CH4" s="1325"/>
      <c r="CI4" s="1326"/>
      <c r="CJ4" s="1324" t="s">
        <v>1120</v>
      </c>
      <c r="CK4" s="1325"/>
      <c r="CL4" s="1325"/>
      <c r="CM4" s="1325"/>
      <c r="CN4" s="1325"/>
      <c r="CO4" s="1325"/>
      <c r="CP4" s="1325"/>
      <c r="CQ4" s="1325"/>
      <c r="CR4" s="1325"/>
      <c r="CS4" s="1325"/>
      <c r="CT4" s="1325"/>
      <c r="CU4" s="1326"/>
    </row>
    <row r="5" spans="1:99" ht="16" customHeight="1" thickBot="1" x14ac:dyDescent="0.3">
      <c r="A5" s="1263" t="s">
        <v>680</v>
      </c>
      <c r="B5" s="1327" t="s">
        <v>998</v>
      </c>
      <c r="C5" s="1265" t="s">
        <v>682</v>
      </c>
      <c r="D5" s="1327" t="s">
        <v>999</v>
      </c>
      <c r="E5" s="1327" t="s">
        <v>684</v>
      </c>
      <c r="F5" s="1329" t="s">
        <v>1000</v>
      </c>
      <c r="G5" s="1327" t="s">
        <v>1001</v>
      </c>
      <c r="H5" s="1327" t="s">
        <v>1002</v>
      </c>
      <c r="I5" s="1351" t="s">
        <v>690</v>
      </c>
      <c r="J5" s="1349" t="s">
        <v>1003</v>
      </c>
      <c r="K5" s="1347" t="s">
        <v>2116</v>
      </c>
      <c r="L5" s="1347" t="s">
        <v>2117</v>
      </c>
      <c r="M5" s="814">
        <f>SUBTOTAL(9,M$6:M986)</f>
        <v>0</v>
      </c>
      <c r="N5" s="814">
        <f>SUBTOTAL(9,N$6:N986)</f>
        <v>0</v>
      </c>
      <c r="O5" s="592">
        <f>SUBTOTAL(9,O$6:O986)</f>
        <v>0</v>
      </c>
      <c r="P5" s="814">
        <f>SUBTOTAL(9,P$6:P986)</f>
        <v>0</v>
      </c>
      <c r="Q5" s="1254" t="s">
        <v>2276</v>
      </c>
      <c r="R5" s="814">
        <f>SUBTOTAL(9,R$6:R986)</f>
        <v>0</v>
      </c>
      <c r="S5" s="814">
        <f>SUBTOTAL(9,S$6:S986)</f>
        <v>0</v>
      </c>
      <c r="T5" s="1254" t="s">
        <v>2277</v>
      </c>
      <c r="U5" s="814">
        <f>SUBTOTAL(9,U$6:U986)</f>
        <v>0</v>
      </c>
      <c r="V5" s="814">
        <f>SUBTOTAL(9,V$6:V986)</f>
        <v>0</v>
      </c>
      <c r="W5" s="1254" t="s">
        <v>2286</v>
      </c>
      <c r="X5" s="814">
        <f>SUBTOTAL(9,X$6:X986)</f>
        <v>0</v>
      </c>
      <c r="Y5" s="592">
        <f>SUBTOTAL(9,Y$6:Y986)</f>
        <v>0</v>
      </c>
      <c r="Z5" s="592">
        <f>SUBTOTAL(9,Z$6:Z986)</f>
        <v>0</v>
      </c>
      <c r="AA5" s="592">
        <f>SUBTOTAL(9,AA$6:AA986)</f>
        <v>0</v>
      </c>
      <c r="AB5" s="592">
        <f>SUBTOTAL(9,AB$6:AB986)</f>
        <v>0</v>
      </c>
      <c r="AC5" s="592">
        <f>SUBTOTAL(9,AC$6:AC986)</f>
        <v>0</v>
      </c>
      <c r="AD5" s="542"/>
      <c r="AE5" s="1314" t="s">
        <v>2092</v>
      </c>
      <c r="AF5" s="1260" t="s">
        <v>1821</v>
      </c>
      <c r="AG5" s="1260"/>
      <c r="AH5" s="1260"/>
      <c r="AI5" s="1269" t="s">
        <v>2120</v>
      </c>
      <c r="AJ5" s="1341" t="s">
        <v>1966</v>
      </c>
      <c r="AK5" s="588">
        <f>SUBTOTAL(9,AK$6:AK986)</f>
        <v>0</v>
      </c>
      <c r="AL5" s="1341" t="s">
        <v>1967</v>
      </c>
      <c r="AM5" s="588">
        <f>SUBTOTAL(9,AM$6:AM986)</f>
        <v>0</v>
      </c>
      <c r="AN5" s="1341" t="s">
        <v>1968</v>
      </c>
      <c r="AO5" s="588">
        <f>SUBTOTAL(9,AO$6:AO986)</f>
        <v>0</v>
      </c>
      <c r="AP5" s="542"/>
      <c r="AQ5" s="1342" t="s">
        <v>1263</v>
      </c>
      <c r="AR5" s="592">
        <f>SUBTOTAL(9,AR$6:AR986)</f>
        <v>0</v>
      </c>
      <c r="AS5" s="592">
        <f>SUBTOTAL(9,AS$6:AS986)</f>
        <v>0</v>
      </c>
      <c r="AT5" s="592">
        <f>SUBTOTAL(9,AT$6:AT986)</f>
        <v>0</v>
      </c>
      <c r="AU5" s="1339" t="s">
        <v>2112</v>
      </c>
      <c r="AV5" s="1336" t="s">
        <v>2113</v>
      </c>
      <c r="AW5" s="1344" t="s">
        <v>2114</v>
      </c>
      <c r="AX5" s="1260" t="s">
        <v>1974</v>
      </c>
      <c r="AY5" s="1260"/>
      <c r="AZ5" s="1260"/>
      <c r="BA5" s="542"/>
      <c r="BB5" s="1289" t="s">
        <v>1006</v>
      </c>
      <c r="BC5" s="1335" t="s">
        <v>1007</v>
      </c>
      <c r="BD5" s="542"/>
      <c r="BE5" s="1346" t="s">
        <v>1186</v>
      </c>
      <c r="BF5" s="1338" t="s">
        <v>1266</v>
      </c>
      <c r="BG5" s="1283" t="s">
        <v>740</v>
      </c>
      <c r="BH5" s="1334" t="s">
        <v>741</v>
      </c>
      <c r="BI5" s="1334" t="s">
        <v>742</v>
      </c>
      <c r="BJ5" s="1283" t="s">
        <v>2102</v>
      </c>
      <c r="BK5" s="1283" t="s">
        <v>2103</v>
      </c>
      <c r="BL5" s="1292" t="s">
        <v>2278</v>
      </c>
      <c r="BM5" s="542"/>
      <c r="BN5" s="1333" t="s">
        <v>1976</v>
      </c>
      <c r="BO5" s="1333"/>
      <c r="BP5" s="1333"/>
      <c r="BQ5" s="1333"/>
      <c r="BR5" s="1333"/>
      <c r="BS5" s="1333"/>
      <c r="BT5" s="1333"/>
      <c r="BU5" s="1333"/>
      <c r="BV5" s="1333"/>
      <c r="BW5" s="1333"/>
      <c r="BX5" s="1333"/>
      <c r="BY5" s="1302" t="s">
        <v>1871</v>
      </c>
      <c r="BZ5" s="1304" t="s">
        <v>1759</v>
      </c>
      <c r="CA5" s="1331" t="s">
        <v>2163</v>
      </c>
      <c r="CB5" s="1296" t="s">
        <v>743</v>
      </c>
      <c r="CC5" s="346"/>
      <c r="CD5" s="377"/>
      <c r="CE5" s="645">
        <f>SUBTOTAL(9,CE$6:CE986)</f>
        <v>0</v>
      </c>
      <c r="CF5" s="378"/>
      <c r="CG5" s="645">
        <f>SUBTOTAL(9,CG$6:CG986)</f>
        <v>0</v>
      </c>
      <c r="CH5" s="378"/>
      <c r="CI5" s="645">
        <f>SUBTOTAL(9,CI$6:CI986)</f>
        <v>0</v>
      </c>
      <c r="CJ5" s="345"/>
      <c r="CK5" s="645">
        <f>SUBTOTAL(9,CK$6:CK986)</f>
        <v>0</v>
      </c>
      <c r="CL5" s="345"/>
      <c r="CM5" s="645">
        <f>SUBTOTAL(9,CM$6:CM986)</f>
        <v>0</v>
      </c>
      <c r="CN5" s="345"/>
      <c r="CO5" s="645">
        <f>SUBTOTAL(9,CO$6:CO986)</f>
        <v>0</v>
      </c>
      <c r="CP5" s="345"/>
      <c r="CQ5" s="645">
        <f>SUBTOTAL(9,CQ$6:CQ986)</f>
        <v>0</v>
      </c>
      <c r="CR5" s="345"/>
      <c r="CS5" s="645">
        <f>SUBTOTAL(9,CS$6:CS986)</f>
        <v>0</v>
      </c>
      <c r="CT5" s="345"/>
      <c r="CU5" s="645">
        <f>SUBTOTAL(9,CU$6:CU986)</f>
        <v>0</v>
      </c>
    </row>
    <row r="6" spans="1:99" ht="47.15" customHeight="1" x14ac:dyDescent="0.25">
      <c r="A6" s="1264"/>
      <c r="B6" s="1328"/>
      <c r="C6" s="1266"/>
      <c r="D6" s="1328"/>
      <c r="E6" s="1328"/>
      <c r="F6" s="1330"/>
      <c r="G6" s="1328"/>
      <c r="H6" s="1328"/>
      <c r="I6" s="1352"/>
      <c r="J6" s="1350"/>
      <c r="K6" s="1314"/>
      <c r="L6" s="1348"/>
      <c r="M6" s="862" t="s">
        <v>696</v>
      </c>
      <c r="N6" s="862" t="s">
        <v>1264</v>
      </c>
      <c r="O6" s="815" t="s">
        <v>698</v>
      </c>
      <c r="P6" s="841" t="s">
        <v>2307</v>
      </c>
      <c r="Q6" s="1255"/>
      <c r="R6" s="862" t="s">
        <v>2308</v>
      </c>
      <c r="S6" s="841" t="s">
        <v>2309</v>
      </c>
      <c r="T6" s="1255"/>
      <c r="U6" s="862" t="s">
        <v>2310</v>
      </c>
      <c r="V6" s="841" t="s">
        <v>2311</v>
      </c>
      <c r="W6" s="1255"/>
      <c r="X6" s="862" t="s">
        <v>2312</v>
      </c>
      <c r="Y6" s="840" t="s">
        <v>1262</v>
      </c>
      <c r="Z6" s="840" t="s">
        <v>1187</v>
      </c>
      <c r="AA6" s="840" t="s">
        <v>2290</v>
      </c>
      <c r="AB6" s="840" t="s">
        <v>703</v>
      </c>
      <c r="AC6" s="841" t="s">
        <v>1261</v>
      </c>
      <c r="AD6" s="543"/>
      <c r="AE6" s="1315"/>
      <c r="AF6" s="589" t="s">
        <v>1819</v>
      </c>
      <c r="AG6" s="593" t="s">
        <v>1818</v>
      </c>
      <c r="AH6" s="589" t="s">
        <v>1820</v>
      </c>
      <c r="AI6" s="1270"/>
      <c r="AJ6" s="1267"/>
      <c r="AK6" s="590" t="s">
        <v>704</v>
      </c>
      <c r="AL6" s="1267"/>
      <c r="AM6" s="590" t="s">
        <v>704</v>
      </c>
      <c r="AN6" s="1267"/>
      <c r="AO6" s="590" t="s">
        <v>704</v>
      </c>
      <c r="AP6" s="543"/>
      <c r="AQ6" s="1343"/>
      <c r="AR6" s="840" t="s">
        <v>1004</v>
      </c>
      <c r="AS6" s="840" t="s">
        <v>1005</v>
      </c>
      <c r="AT6" s="840" t="s">
        <v>1884</v>
      </c>
      <c r="AU6" s="1340"/>
      <c r="AV6" s="1337"/>
      <c r="AW6" s="1345"/>
      <c r="AX6" s="589" t="s">
        <v>1819</v>
      </c>
      <c r="AY6" s="593" t="s">
        <v>1818</v>
      </c>
      <c r="AZ6" s="589" t="s">
        <v>1820</v>
      </c>
      <c r="BA6" s="543"/>
      <c r="BB6" s="1290"/>
      <c r="BC6" s="1318"/>
      <c r="BD6" s="543"/>
      <c r="BE6" s="1320"/>
      <c r="BF6" s="1322"/>
      <c r="BG6" s="1284"/>
      <c r="BH6" s="1283"/>
      <c r="BI6" s="1283"/>
      <c r="BJ6" s="1284"/>
      <c r="BK6" s="1284"/>
      <c r="BL6" s="1293"/>
      <c r="BM6" s="543"/>
      <c r="BN6" s="589" t="s">
        <v>1872</v>
      </c>
      <c r="BO6" s="589" t="s">
        <v>1526</v>
      </c>
      <c r="BP6" s="589" t="s">
        <v>1574</v>
      </c>
      <c r="BQ6" s="589" t="s">
        <v>1527</v>
      </c>
      <c r="BR6" s="589" t="s">
        <v>1666</v>
      </c>
      <c r="BS6" s="589" t="s">
        <v>1667</v>
      </c>
      <c r="BT6" s="589" t="s">
        <v>1977</v>
      </c>
      <c r="BU6" s="589" t="s">
        <v>1670</v>
      </c>
      <c r="BV6" s="589" t="s">
        <v>1686</v>
      </c>
      <c r="BW6" s="589" t="s">
        <v>1571</v>
      </c>
      <c r="BX6" s="589" t="s">
        <v>1889</v>
      </c>
      <c r="BY6" s="1303"/>
      <c r="BZ6" s="1305"/>
      <c r="CA6" s="1332"/>
      <c r="CB6" s="1297"/>
      <c r="CC6" s="349"/>
      <c r="CD6" s="589" t="s">
        <v>1102</v>
      </c>
      <c r="CE6" s="589" t="s">
        <v>1105</v>
      </c>
      <c r="CF6" s="589" t="s">
        <v>1104</v>
      </c>
      <c r="CG6" s="589" t="s">
        <v>1106</v>
      </c>
      <c r="CH6" s="589" t="s">
        <v>1103</v>
      </c>
      <c r="CI6" s="589" t="s">
        <v>1107</v>
      </c>
      <c r="CJ6" s="589" t="s">
        <v>1108</v>
      </c>
      <c r="CK6" s="589" t="s">
        <v>1109</v>
      </c>
      <c r="CL6" s="589" t="s">
        <v>1110</v>
      </c>
      <c r="CM6" s="589" t="s">
        <v>1111</v>
      </c>
      <c r="CN6" s="589" t="s">
        <v>1112</v>
      </c>
      <c r="CO6" s="589" t="s">
        <v>1113</v>
      </c>
      <c r="CP6" s="589" t="s">
        <v>1114</v>
      </c>
      <c r="CQ6" s="589" t="s">
        <v>1115</v>
      </c>
      <c r="CR6" s="589" t="s">
        <v>1116</v>
      </c>
      <c r="CS6" s="589" t="s">
        <v>1117</v>
      </c>
      <c r="CT6" s="589" t="s">
        <v>1118</v>
      </c>
      <c r="CU6" s="589" t="s">
        <v>1119</v>
      </c>
    </row>
    <row r="7" spans="1:99" x14ac:dyDescent="0.25">
      <c r="A7" s="880"/>
      <c r="B7" s="881" t="s">
        <v>2297</v>
      </c>
      <c r="C7" s="880"/>
      <c r="D7" s="880"/>
      <c r="E7" s="884" t="s">
        <v>745</v>
      </c>
      <c r="F7" s="888">
        <v>1</v>
      </c>
      <c r="G7" s="881"/>
      <c r="H7" s="881" t="s">
        <v>19</v>
      </c>
      <c r="I7" s="865">
        <v>46023</v>
      </c>
      <c r="J7" s="882" t="s">
        <v>8</v>
      </c>
      <c r="K7" s="880"/>
      <c r="L7" s="880"/>
      <c r="M7" s="883">
        <v>0</v>
      </c>
      <c r="N7" s="883">
        <v>0</v>
      </c>
      <c r="O7" s="883">
        <v>0</v>
      </c>
      <c r="P7" s="883">
        <v>0</v>
      </c>
      <c r="Q7" s="883">
        <v>15</v>
      </c>
      <c r="R7" s="883">
        <f>ROUND(P7*Q7%,2)</f>
        <v>0</v>
      </c>
      <c r="S7" s="883">
        <v>0</v>
      </c>
      <c r="T7" s="883">
        <v>5</v>
      </c>
      <c r="U7" s="883">
        <f>ROUND(S7*T7%,2)</f>
        <v>0</v>
      </c>
      <c r="V7" s="883">
        <v>0</v>
      </c>
      <c r="W7" s="883">
        <v>8</v>
      </c>
      <c r="X7" s="883">
        <f>ROUND(V7*W7%,2)</f>
        <v>0</v>
      </c>
      <c r="Y7" s="883">
        <v>0</v>
      </c>
      <c r="Z7" s="883">
        <v>0</v>
      </c>
      <c r="AA7" s="883">
        <v>0</v>
      </c>
      <c r="AB7" s="883">
        <f>ROUND(SUM(M7:P7)+SUM(R7:S7)+SUM(U7:V7)+SUM(X7:AA7),2)</f>
        <v>0</v>
      </c>
      <c r="AC7" s="883">
        <v>0</v>
      </c>
      <c r="AD7" s="881"/>
      <c r="AE7" s="880"/>
      <c r="AF7" s="883"/>
      <c r="AG7" s="889"/>
      <c r="AH7" s="880"/>
      <c r="AI7" s="880" t="s">
        <v>1245</v>
      </c>
      <c r="AJ7" s="884">
        <v>411</v>
      </c>
      <c r="AK7" s="883">
        <f>IF(OR(AJ7=441,AJ7=444,AJ7=417,AJ7=418),IF(AJ7=441,SUM($M7:$N7)+SUM($Y7:$AA7),SUM($M7:$P7)+$S7+$V7),IF(AND(AJ7&gt;412,AJ7&lt;417),$O7,IF(OR(AJ7=411,AJ7=412),$P7,IF(AJ7=420,$V7,IF(AJ7=435,$S7,0)))))</f>
        <v>0</v>
      </c>
      <c r="AL7" s="884">
        <v>413</v>
      </c>
      <c r="AM7" s="883">
        <f>IF(OR(AL7=441,AL7=444,AL7=417,AL7=418),IF(AL7=441,SUM($M7:$N7)+SUM($Y7:$AA7),SUM($M7:$P7)+$S7+$V7),IF(AND(AL7&gt;412,AL7&lt;417),$O7,IF(OR(AL7=411,AL7=412),$P7,IF(AL7=420,$V7,IF(AL7=435,$S7,0)))))</f>
        <v>0</v>
      </c>
      <c r="AN7" s="884">
        <v>441</v>
      </c>
      <c r="AO7" s="883">
        <f>IF(OR(AN7=441,AN7=444,AN7=417,AN7=418),IF(AN7=441,SUM($M7:$N7)+SUM($Y7:$AA7),SUM($M7:$P7)+$S7+$V7),IF(AND(AN7&gt;412,AN7&lt;417),$O7,IF(OR(AN7=411,AN7=412),$P7,IF(AN7=420,$V7,IF(AN7=435,$S7,0)))))</f>
        <v>0</v>
      </c>
      <c r="AP7" s="881"/>
      <c r="AQ7" s="881"/>
      <c r="AR7" s="883">
        <v>0</v>
      </c>
      <c r="AS7" s="883">
        <v>0</v>
      </c>
      <c r="AT7" s="883">
        <v>0</v>
      </c>
      <c r="AU7" s="880"/>
      <c r="AV7" s="886"/>
      <c r="AW7" s="880"/>
      <c r="AX7" s="886"/>
      <c r="AY7" s="880"/>
      <c r="AZ7" s="880"/>
      <c r="BA7" s="881"/>
      <c r="BB7" s="881"/>
      <c r="BC7" s="881"/>
      <c r="BD7" s="881"/>
      <c r="BE7" s="884">
        <f>IF(ISNUMBER(I7),MONTH(I7),0)</f>
        <v>1</v>
      </c>
      <c r="BF7" s="887" t="str">
        <f>IF(ISNUMBER(I7),IF(ISERROR(HLOOKUP(MONTH(I7),meses_104,1,0)),"NO","SI"),"NO")</f>
        <v>SI</v>
      </c>
      <c r="BG7" s="883">
        <f>IF(ISBLANK(H7),0,IF(OR((VALUE(LEFT(H7,2))=4),((LEFT(H7,3))="372")),0,AK7))</f>
        <v>0</v>
      </c>
      <c r="BH7" s="883">
        <f>IF(ISBLANK(H7),0,IF(OR((VALUE(LEFT(H7,2))=4),((LEFT(H7,3))="372")),0,AM7))</f>
        <v>0</v>
      </c>
      <c r="BI7" s="883">
        <f>IF(ISBLANK(H7),0,IF(OR((VALUE(LEFT(H7,2))=4),((LEFT(H7,3))="372")),0,AO7))</f>
        <v>0</v>
      </c>
      <c r="BJ7" s="883">
        <f>SUM(M7:O7)+SUM(Y7:AA7)</f>
        <v>0</v>
      </c>
      <c r="BK7" s="883">
        <f>ROUND((IF(AJ7=444,(R7+U7+X7),0)+IF(AL7=444,(R7+U7+X7),0)+IF(AN7=444,(R7+U7+X7),0)),2)</f>
        <v>0</v>
      </c>
      <c r="BL7" s="883">
        <f>R7+U7+X7-BK7</f>
        <v>0</v>
      </c>
      <c r="BM7" s="881"/>
      <c r="BN7" s="880"/>
      <c r="BO7" s="882" t="s">
        <v>1585</v>
      </c>
      <c r="BP7" s="882" t="s">
        <v>2296</v>
      </c>
      <c r="BQ7" s="882" t="s">
        <v>2295</v>
      </c>
      <c r="BR7" s="880"/>
      <c r="BS7" s="880"/>
      <c r="BT7" s="880"/>
      <c r="BU7" s="880"/>
      <c r="BV7" s="880"/>
      <c r="BW7" s="883">
        <v>0</v>
      </c>
      <c r="BX7" s="883">
        <v>0</v>
      </c>
      <c r="BY7" s="883">
        <v>0</v>
      </c>
      <c r="BZ7" s="890"/>
      <c r="CA7" s="883">
        <f>ROUND((IF(OR(AJ7=413,AJ7=414),AK7,0)+IF(OR(AL7=413,AL7=414),AM7,0)+IF(OR(AN7=413,AN7=414),AO7,0)),2)</f>
        <v>0</v>
      </c>
      <c r="CB7" s="880"/>
      <c r="CC7" s="881"/>
      <c r="CD7" s="883"/>
      <c r="CE7" s="883"/>
      <c r="CF7" s="883"/>
      <c r="CG7" s="883"/>
      <c r="CH7" s="883"/>
      <c r="CI7" s="883"/>
      <c r="CJ7" s="883"/>
      <c r="CK7" s="883"/>
      <c r="CL7" s="883"/>
      <c r="CM7" s="883"/>
      <c r="CN7" s="883"/>
      <c r="CO7" s="883"/>
      <c r="CP7" s="883"/>
      <c r="CQ7" s="883"/>
      <c r="CR7" s="883"/>
      <c r="CS7" s="883"/>
      <c r="CT7" s="883"/>
      <c r="CU7" s="883"/>
    </row>
    <row r="8" spans="1:99" x14ac:dyDescent="0.25">
      <c r="A8" s="880"/>
      <c r="B8" s="881" t="s">
        <v>2297</v>
      </c>
      <c r="C8" s="880"/>
      <c r="D8" s="880"/>
      <c r="E8" s="884" t="s">
        <v>745</v>
      </c>
      <c r="F8" s="888">
        <v>1</v>
      </c>
      <c r="G8" s="881"/>
      <c r="H8" s="881" t="s">
        <v>19</v>
      </c>
      <c r="I8" s="865">
        <v>46023</v>
      </c>
      <c r="J8" s="882" t="s">
        <v>8</v>
      </c>
      <c r="K8" s="880"/>
      <c r="L8" s="880"/>
      <c r="M8" s="883">
        <v>0</v>
      </c>
      <c r="N8" s="883">
        <v>0</v>
      </c>
      <c r="O8" s="883">
        <v>0</v>
      </c>
      <c r="P8" s="883">
        <v>0</v>
      </c>
      <c r="Q8" s="883">
        <v>15</v>
      </c>
      <c r="R8" s="883">
        <f>ROUND(P8*Q8%,2)</f>
        <v>0</v>
      </c>
      <c r="S8" s="883">
        <v>0</v>
      </c>
      <c r="T8" s="883">
        <v>5</v>
      </c>
      <c r="U8" s="883">
        <f>ROUND(S8*T8%,2)</f>
        <v>0</v>
      </c>
      <c r="V8" s="883">
        <v>0</v>
      </c>
      <c r="W8" s="883">
        <v>8</v>
      </c>
      <c r="X8" s="883">
        <f>ROUND(V8*W8%,2)</f>
        <v>0</v>
      </c>
      <c r="Y8" s="883">
        <v>0</v>
      </c>
      <c r="Z8" s="883">
        <v>0</v>
      </c>
      <c r="AA8" s="883">
        <v>0</v>
      </c>
      <c r="AB8" s="883">
        <f>ROUND(SUM(M8:P8)+SUM(R8:S8)+SUM(U8:V8)+SUM(X8:AA8),2)</f>
        <v>0</v>
      </c>
      <c r="AC8" s="883">
        <v>0</v>
      </c>
      <c r="AD8" s="881"/>
      <c r="AE8" s="880"/>
      <c r="AF8" s="883"/>
      <c r="AG8" s="889"/>
      <c r="AH8" s="880"/>
      <c r="AI8" s="880" t="s">
        <v>1245</v>
      </c>
      <c r="AJ8" s="884">
        <v>411</v>
      </c>
      <c r="AK8" s="883">
        <f>IF(OR(AJ8=441,AJ8=444,AJ8=417,AJ8=418),IF(AJ8=441,SUM($M8:$N8)+SUM($Y8:$AA8),SUM($M8:$P8)+$S8+$V8),IF(AND(AJ8&gt;412,AJ8&lt;417),$O8,IF(OR(AJ8=411,AJ8=412),$P8,IF(AJ8=420,$V8,IF(AJ8=435,$S8,0)))))</f>
        <v>0</v>
      </c>
      <c r="AL8" s="884">
        <v>413</v>
      </c>
      <c r="AM8" s="883">
        <f>IF(OR(AL8=441,AL8=444,AL8=417,AL8=418),IF(AL8=441,SUM($M8:$N8)+SUM($Y8:$AA8),SUM($M8:$P8)+$S8+$V8),IF(AND(AL8&gt;412,AL8&lt;417),$O8,IF(OR(AL8=411,AL8=412),$P8,IF(AL8=420,$V8,IF(AL8=435,$S8,0)))))</f>
        <v>0</v>
      </c>
      <c r="AN8" s="884">
        <v>441</v>
      </c>
      <c r="AO8" s="883">
        <f>IF(OR(AN8=441,AN8=444,AN8=417,AN8=418),IF(AN8=441,SUM($M8:$N8)+SUM($Y8:$AA8),SUM($M8:$P8)+$S8+$V8),IF(AND(AN8&gt;412,AN8&lt;417),$O8,IF(OR(AN8=411,AN8=412),$P8,IF(AN8=420,$V8,IF(AN8=435,$S8,0)))))</f>
        <v>0</v>
      </c>
      <c r="AP8" s="881"/>
      <c r="AQ8" s="881"/>
      <c r="AR8" s="883">
        <v>0</v>
      </c>
      <c r="AS8" s="883">
        <v>0</v>
      </c>
      <c r="AT8" s="883">
        <v>0</v>
      </c>
      <c r="AU8" s="880"/>
      <c r="AV8" s="886"/>
      <c r="AW8" s="880"/>
      <c r="AX8" s="886"/>
      <c r="AY8" s="880"/>
      <c r="AZ8" s="880"/>
      <c r="BA8" s="881"/>
      <c r="BB8" s="881"/>
      <c r="BC8" s="881"/>
      <c r="BD8" s="881"/>
      <c r="BE8" s="884">
        <f>IF(ISNUMBER(I8),MONTH(I8),0)</f>
        <v>1</v>
      </c>
      <c r="BF8" s="887" t="str">
        <f>IF(ISNUMBER(I8),IF(ISERROR(HLOOKUP(MONTH(I8),meses_104,1,0)),"NO","SI"),"NO")</f>
        <v>SI</v>
      </c>
      <c r="BG8" s="883">
        <f>IF(ISBLANK(H8),0,IF(OR((VALUE(LEFT(H8,2))=4),((LEFT(H8,3))="372")),0,AK8))</f>
        <v>0</v>
      </c>
      <c r="BH8" s="883">
        <f>IF(ISBLANK(H8),0,IF(OR((VALUE(LEFT(H8,2))=4),((LEFT(H8,3))="372")),0,AM8))</f>
        <v>0</v>
      </c>
      <c r="BI8" s="883">
        <f>IF(ISBLANK(H8),0,IF(OR((VALUE(LEFT(H8,2))=4),((LEFT(H8,3))="372")),0,AO8))</f>
        <v>0</v>
      </c>
      <c r="BJ8" s="883">
        <f>SUM(M8:O8)+SUM(Y8:AA8)</f>
        <v>0</v>
      </c>
      <c r="BK8" s="883">
        <f>ROUND((IF(AJ8=444,(R8+U8+X8),0)+IF(AL8=444,(R8+U8+X8),0)+IF(AN8=444,(R8+U8+X8),0)),2)</f>
        <v>0</v>
      </c>
      <c r="BL8" s="883">
        <f>R8+U8+X8-BK8</f>
        <v>0</v>
      </c>
      <c r="BM8" s="881"/>
      <c r="BN8" s="880"/>
      <c r="BO8" s="882" t="s">
        <v>1585</v>
      </c>
      <c r="BP8" s="882" t="s">
        <v>2296</v>
      </c>
      <c r="BQ8" s="882" t="s">
        <v>2295</v>
      </c>
      <c r="BR8" s="880"/>
      <c r="BS8" s="880"/>
      <c r="BT8" s="880"/>
      <c r="BU8" s="880"/>
      <c r="BV8" s="880"/>
      <c r="BW8" s="883">
        <v>0</v>
      </c>
      <c r="BX8" s="883">
        <v>0</v>
      </c>
      <c r="BY8" s="883">
        <v>0</v>
      </c>
      <c r="BZ8" s="890"/>
      <c r="CA8" s="883">
        <f>ROUND((IF(OR(AJ8=413,AJ8=414),AK8,0)+IF(OR(AL8=413,AL8=414),AM8,0)+IF(OR(AN8=413,AN8=414),AO8,0)),2)</f>
        <v>0</v>
      </c>
      <c r="CB8" s="880"/>
      <c r="CC8" s="881"/>
      <c r="CD8" s="883"/>
      <c r="CE8" s="883"/>
      <c r="CF8" s="883"/>
      <c r="CG8" s="883"/>
      <c r="CH8" s="883"/>
      <c r="CI8" s="883"/>
      <c r="CJ8" s="883"/>
      <c r="CK8" s="883"/>
      <c r="CL8" s="883"/>
      <c r="CM8" s="883"/>
      <c r="CN8" s="883"/>
      <c r="CO8" s="883"/>
      <c r="CP8" s="883"/>
      <c r="CQ8" s="883"/>
      <c r="CR8" s="883"/>
      <c r="CS8" s="883"/>
      <c r="CT8" s="883"/>
      <c r="CU8" s="883"/>
    </row>
    <row r="9" spans="1:99" x14ac:dyDescent="0.25">
      <c r="A9" s="863"/>
      <c r="B9" s="434" t="s">
        <v>2297</v>
      </c>
      <c r="C9" s="863"/>
      <c r="D9" s="863"/>
      <c r="E9" s="867" t="s">
        <v>745</v>
      </c>
      <c r="F9" s="875">
        <v>1</v>
      </c>
      <c r="G9" s="434"/>
      <c r="H9" s="434" t="s">
        <v>19</v>
      </c>
      <c r="I9" s="865">
        <v>46023</v>
      </c>
      <c r="J9" s="864" t="s">
        <v>8</v>
      </c>
      <c r="K9" s="863"/>
      <c r="L9" s="863"/>
      <c r="M9" s="866">
        <v>0</v>
      </c>
      <c r="N9" s="866">
        <v>0</v>
      </c>
      <c r="O9" s="866">
        <v>0</v>
      </c>
      <c r="P9" s="866">
        <v>0</v>
      </c>
      <c r="Q9" s="866">
        <v>15</v>
      </c>
      <c r="R9" s="866">
        <f>ROUND(P9*Q9%,2)</f>
        <v>0</v>
      </c>
      <c r="S9" s="866">
        <v>0</v>
      </c>
      <c r="T9" s="866">
        <v>5</v>
      </c>
      <c r="U9" s="866">
        <f>ROUND(S9*T9%,2)</f>
        <v>0</v>
      </c>
      <c r="V9" s="866">
        <v>0</v>
      </c>
      <c r="W9" s="866">
        <v>8</v>
      </c>
      <c r="X9" s="866">
        <f>ROUND(V9*W9%,2)</f>
        <v>0</v>
      </c>
      <c r="Y9" s="866">
        <v>0</v>
      </c>
      <c r="Z9" s="866">
        <v>0</v>
      </c>
      <c r="AA9" s="866">
        <v>0</v>
      </c>
      <c r="AB9" s="866">
        <f>ROUND(SUM(M9:P9)+SUM(R9:S9)+SUM(U9:V9)+SUM(X9:AA9),2)</f>
        <v>0</v>
      </c>
      <c r="AC9" s="866">
        <v>0</v>
      </c>
      <c r="AD9" s="434"/>
      <c r="AE9" s="863"/>
      <c r="AF9" s="866"/>
      <c r="AG9" s="876"/>
      <c r="AH9" s="863"/>
      <c r="AI9" s="863" t="s">
        <v>1245</v>
      </c>
      <c r="AJ9" s="867">
        <v>411</v>
      </c>
      <c r="AK9" s="866">
        <f>IF(OR(AJ9=441,AJ9=444,AJ9=417,AJ9=418),IF(AJ9=441,SUM($M9:$N9)+SUM($Y9:$AA9),SUM($M9:$P9)+$S9+$V9),IF(AND(AJ9&gt;412,AJ9&lt;417),$O9,IF(OR(AJ9=411,AJ9=412),$P9,IF(AJ9=420,$V9,IF(AJ9=435,$S9,0)))))</f>
        <v>0</v>
      </c>
      <c r="AL9" s="867">
        <v>413</v>
      </c>
      <c r="AM9" s="866">
        <f>IF(OR(AL9=441,AL9=444,AL9=417,AL9=418),IF(AL9=441,SUM($M9:$N9)+SUM($Y9:$AA9),SUM($M9:$P9)+$S9+$V9),IF(AND(AL9&gt;412,AL9&lt;417),$O9,IF(OR(AL9=411,AL9=412),$P9,IF(AL9=420,$V9,IF(AL9=435,$S9,0)))))</f>
        <v>0</v>
      </c>
      <c r="AN9" s="867">
        <v>441</v>
      </c>
      <c r="AO9" s="866">
        <f>IF(OR(AN9=441,AN9=444,AN9=417,AN9=418),IF(AN9=441,SUM($M9:$N9)+SUM($Y9:$AA9),SUM($M9:$P9)+$S9+$V9),IF(AND(AN9&gt;412,AN9&lt;417),$O9,IF(OR(AN9=411,AN9=412),$P9,IF(AN9=420,$V9,IF(AN9=435,$S9,0)))))</f>
        <v>0</v>
      </c>
      <c r="AP9" s="434"/>
      <c r="AQ9" s="434"/>
      <c r="AR9" s="866">
        <v>0</v>
      </c>
      <c r="AS9" s="866">
        <v>0</v>
      </c>
      <c r="AT9" s="866">
        <v>0</v>
      </c>
      <c r="AU9" s="863"/>
      <c r="AV9" s="871"/>
      <c r="AW9" s="863"/>
      <c r="AX9" s="871"/>
      <c r="AY9" s="863"/>
      <c r="AZ9" s="863"/>
      <c r="BA9" s="434"/>
      <c r="BB9" s="434"/>
      <c r="BC9" s="434"/>
      <c r="BD9" s="434"/>
      <c r="BE9" s="867">
        <f>IF(ISNUMBER(I9),MONTH(I9),0)</f>
        <v>1</v>
      </c>
      <c r="BF9" s="872" t="str">
        <f>IF(ISNUMBER(I9),IF(ISERROR(HLOOKUP(MONTH(I9),meses_104,1,0)),"NO","SI"),"NO")</f>
        <v>SI</v>
      </c>
      <c r="BG9" s="866">
        <f>IF(ISBLANK(H9),0,IF(OR((VALUE(LEFT(H9,2))=4),((LEFT(H9,3))="372")),0,AK9))</f>
        <v>0</v>
      </c>
      <c r="BH9" s="866">
        <f>IF(ISBLANK(H9),0,IF(OR((VALUE(LEFT(H9,2))=4),((LEFT(H9,3))="372")),0,AM9))</f>
        <v>0</v>
      </c>
      <c r="BI9" s="866">
        <f>IF(ISBLANK(H9),0,IF(OR((VALUE(LEFT(H9,2))=4),((LEFT(H9,3))="372")),0,AO9))</f>
        <v>0</v>
      </c>
      <c r="BJ9" s="866">
        <f>SUM(M9:O9)+SUM(Y9:AA9)</f>
        <v>0</v>
      </c>
      <c r="BK9" s="866">
        <f>ROUND((IF(AJ9=444,(R9+U9+X9),0)+IF(AL9=444,(R9+U9+X9),0)+IF(AN9=444,(R9+U9+X9),0)),2)</f>
        <v>0</v>
      </c>
      <c r="BL9" s="866">
        <f>R9+U9+X9-BK9</f>
        <v>0</v>
      </c>
      <c r="BM9" s="434"/>
      <c r="BN9" s="863"/>
      <c r="BO9" s="864" t="s">
        <v>1585</v>
      </c>
      <c r="BP9" s="864" t="s">
        <v>2296</v>
      </c>
      <c r="BQ9" s="864" t="s">
        <v>2295</v>
      </c>
      <c r="BR9" s="863"/>
      <c r="BS9" s="863"/>
      <c r="BT9" s="863"/>
      <c r="BU9" s="863"/>
      <c r="BV9" s="863"/>
      <c r="BW9" s="866">
        <v>0</v>
      </c>
      <c r="BX9" s="866">
        <v>0</v>
      </c>
      <c r="BY9" s="866">
        <v>0</v>
      </c>
      <c r="BZ9" s="877"/>
      <c r="CA9" s="866">
        <f>ROUND((IF(OR(AJ9=413,AJ9=414),AK9,0)+IF(OR(AL9=413,AL9=414),AM9,0)+IF(OR(AN9=413,AN9=414),AO9,0)),2)</f>
        <v>0</v>
      </c>
      <c r="CB9" s="863"/>
      <c r="CC9" s="434"/>
      <c r="CD9" s="866"/>
      <c r="CE9" s="866"/>
      <c r="CF9" s="866"/>
      <c r="CG9" s="866"/>
      <c r="CH9" s="866"/>
      <c r="CI9" s="866"/>
      <c r="CJ9" s="866"/>
      <c r="CK9" s="866"/>
      <c r="CL9" s="866"/>
      <c r="CM9" s="866"/>
      <c r="CN9" s="866"/>
      <c r="CO9" s="866"/>
      <c r="CP9" s="866"/>
      <c r="CQ9" s="866"/>
      <c r="CR9" s="866"/>
      <c r="CS9" s="866"/>
      <c r="CT9" s="866"/>
      <c r="CU9" s="866"/>
    </row>
  </sheetData>
  <autoFilter ref="A6:CV6" xr:uid="{EF8F69D7-DA0E-405D-8DD9-717CC70B161A}"/>
  <mergeCells count="43">
    <mergeCell ref="AI5:AI6"/>
    <mergeCell ref="AW5:AW6"/>
    <mergeCell ref="A5:A6"/>
    <mergeCell ref="BE5:BE6"/>
    <mergeCell ref="L5:L6"/>
    <mergeCell ref="K5:K6"/>
    <mergeCell ref="J5:J6"/>
    <mergeCell ref="I5:I6"/>
    <mergeCell ref="H5:H6"/>
    <mergeCell ref="T5:T6"/>
    <mergeCell ref="W5:W6"/>
    <mergeCell ref="BF5:BF6"/>
    <mergeCell ref="BK5:BK6"/>
    <mergeCell ref="BG5:BG6"/>
    <mergeCell ref="C5:C6"/>
    <mergeCell ref="B5:B6"/>
    <mergeCell ref="AU5:AU6"/>
    <mergeCell ref="AF5:AH5"/>
    <mergeCell ref="AJ5:AJ6"/>
    <mergeCell ref="AL5:AL6"/>
    <mergeCell ref="AN5:AN6"/>
    <mergeCell ref="AX5:AZ5"/>
    <mergeCell ref="AE5:AE6"/>
    <mergeCell ref="BI5:BI6"/>
    <mergeCell ref="D5:D6"/>
    <mergeCell ref="Q5:Q6"/>
    <mergeCell ref="AQ5:AQ6"/>
    <mergeCell ref="CJ4:CU4"/>
    <mergeCell ref="CD4:CI4"/>
    <mergeCell ref="G5:G6"/>
    <mergeCell ref="F5:F6"/>
    <mergeCell ref="E5:E6"/>
    <mergeCell ref="CA5:CA6"/>
    <mergeCell ref="CB5:CB6"/>
    <mergeCell ref="BN5:BX5"/>
    <mergeCell ref="BY5:BY6"/>
    <mergeCell ref="BZ5:BZ6"/>
    <mergeCell ref="BL5:BL6"/>
    <mergeCell ref="BJ5:BJ6"/>
    <mergeCell ref="BH5:BH6"/>
    <mergeCell ref="BC5:BC6"/>
    <mergeCell ref="BB5:BB6"/>
    <mergeCell ref="AV5:AV6"/>
  </mergeCells>
  <phoneticPr fontId="55" type="noConversion"/>
  <conditionalFormatting sqref="AF7:CV59 A7:AD59">
    <cfRule type="expression" dxfId="7" priority="33">
      <formula>ROW()=RowVEN</formula>
    </cfRule>
  </conditionalFormatting>
  <dataValidations count="11">
    <dataValidation type="list" allowBlank="1" showInputMessage="1" showErrorMessage="1" sqref="G7:G1048576 AQ7:AQ1048576" xr:uid="{00000000-0002-0000-0300-000001000000}">
      <formula1>"F-Fisico,E-Electronico"</formula1>
    </dataValidation>
    <dataValidation type="list" allowBlank="1" showInputMessage="1" showErrorMessage="1" sqref="D7:D1048576" xr:uid="{00000000-0002-0000-0300-000002000000}">
      <formula1>"01-Persona Natural,02-Sociedad"</formula1>
    </dataValidation>
    <dataValidation type="list" allowBlank="1" showInputMessage="1" showErrorMessage="1" errorTitle="Anexos con Excel" error="Debe seleccionar 12 o 14" sqref="T7:T1048576 W7:W1048576 Q7:Q1048576" xr:uid="{79BAAA20-D8A9-485A-877F-76C88D741375}">
      <formula1>tarifasIVA</formula1>
    </dataValidation>
    <dataValidation type="list" allowBlank="1" showInputMessage="1" showErrorMessage="1" sqref="E7:E1048576" xr:uid="{00000000-0002-0000-0300-000004000000}">
      <formula1>"SI,NO"</formula1>
    </dataValidation>
    <dataValidation type="textLength" errorStyle="warning" operator="equal" allowBlank="1" showInputMessage="1" showErrorMessage="1" errorTitle="Validación de datos" error="Debe ingresar los 3 caracteres correspondientes en cada celda ó dejarla vacia de ser el caso." sqref="J7:J1048576" xr:uid="{00000000-0002-0000-0300-000005000000}">
      <formula1>3</formula1>
    </dataValidation>
    <dataValidation type="list" allowBlank="1" showInputMessage="1" showErrorMessage="1" sqref="B7:B1048576" xr:uid="{00000000-0002-0000-0300-000006000000}">
      <formula1>"R-Ruc,C-Cédula,F-Consumidor Final,P-Pasaporte,E-ID Exterior,M-Placa/RAMV/CPN"</formula1>
    </dataValidation>
    <dataValidation type="list" allowBlank="1" showInputMessage="1" showErrorMessage="1" sqref="H7:H1048576" xr:uid="{00000000-0002-0000-0300-000007000000}">
      <formula1>ComprobantesVEN</formula1>
    </dataValidation>
    <dataValidation type="list" allowBlank="1" showInputMessage="1" showErrorMessage="1" sqref="AI7:AI1048576" xr:uid="{D8226DA5-093E-4A3D-B2B9-26D9D26F9556}">
      <formula1>ListaActividades</formula1>
    </dataValidation>
    <dataValidation type="list" allowBlank="1" showInputMessage="1" showErrorMessage="1" sqref="AF7:AF1048576" xr:uid="{19BBE5F8-4DC0-4706-BB44-4BC89F381B34}">
      <formula1>gruContable</formula1>
    </dataValidation>
    <dataValidation type="list" allowBlank="1" showInputMessage="1" showErrorMessage="1" sqref="AX7:AX1048576" xr:uid="{90C7B464-462B-4FBB-962F-4776E935A41C}">
      <formula1>gruContableING</formula1>
    </dataValidation>
    <dataValidation type="list" allowBlank="1" showInputMessage="1" showErrorMessage="1" sqref="BB7:BC1048576" xr:uid="{A22F1125-CCE2-4FC8-AA82-678D8790E2B4}">
      <formula1>IF($H7="04-Nota de credito","",pagos)</formula1>
    </dataValidation>
  </dataValidations>
  <pageMargins left="0.7" right="0.7" top="0.75" bottom="0.75" header="0.3" footer="0.3"/>
  <pageSetup paperSize="9" orientation="portrait"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1:AF9"/>
  <sheetViews>
    <sheetView showGridLines="0" zoomScaleNormal="100" workbookViewId="0">
      <pane xSplit="3" ySplit="6" topLeftCell="D7" activePane="bottomRight" state="frozen"/>
      <selection activeCell="D7" sqref="D7"/>
      <selection pane="topRight" activeCell="D7" sqref="D7"/>
      <selection pane="bottomLeft" activeCell="D7" sqref="D7"/>
      <selection pane="bottomRight" activeCell="D7" sqref="D7"/>
    </sheetView>
  </sheetViews>
  <sheetFormatPr baseColWidth="10" defaultColWidth="10.81640625" defaultRowHeight="11.5" outlineLevelCol="1" x14ac:dyDescent="0.25"/>
  <cols>
    <col min="1" max="1" width="15" style="350" customWidth="1"/>
    <col min="2" max="2" width="27.54296875" style="350" customWidth="1"/>
    <col min="3" max="3" width="15.453125" style="350" customWidth="1"/>
    <col min="4" max="4" width="9.26953125" style="333" customWidth="1"/>
    <col min="5" max="5" width="14.26953125" style="350" customWidth="1"/>
    <col min="6" max="6" width="19.54296875" style="350" customWidth="1"/>
    <col min="7" max="8" width="12.1796875" style="333" customWidth="1"/>
    <col min="9" max="9" width="18.26953125" style="333" customWidth="1"/>
    <col min="10" max="11" width="5.81640625" style="368" customWidth="1"/>
    <col min="12" max="12" width="10.81640625" style="350"/>
    <col min="13" max="13" width="18.81640625" style="350" customWidth="1"/>
    <col min="14" max="14" width="11.7265625" style="352" customWidth="1"/>
    <col min="15" max="16" width="11.453125" style="353" customWidth="1" outlineLevel="1"/>
    <col min="17" max="18" width="10.81640625" style="353"/>
    <col min="19" max="19" width="8" style="353" customWidth="1"/>
    <col min="20" max="20" width="10.81640625" style="353"/>
    <col min="21" max="21" width="9.26953125" style="351" customWidth="1" outlineLevel="1"/>
    <col min="22" max="24" width="10.81640625" style="353" customWidth="1" outlineLevel="1"/>
    <col min="25" max="25" width="10.81640625" style="353"/>
    <col min="26" max="26" width="10.81640625" style="353" customWidth="1"/>
    <col min="27" max="27" width="30" style="350" customWidth="1"/>
    <col min="28" max="28" width="10.54296875" style="350" customWidth="1" outlineLevel="1"/>
    <col min="29" max="29" width="7.81640625" style="368" customWidth="1" outlineLevel="1"/>
    <col min="30" max="30" width="10" style="350" customWidth="1" outlineLevel="1"/>
    <col min="31" max="31" width="19.7265625" style="333" customWidth="1" outlineLevel="1"/>
    <col min="32" max="32" width="5.1796875" style="368" customWidth="1" outlineLevel="1"/>
    <col min="33" max="16384" width="10.81640625" style="333"/>
  </cols>
  <sheetData>
    <row r="1" spans="1:32" ht="20.149999999999999" customHeight="1" x14ac:dyDescent="0.25">
      <c r="A1" s="372" t="str">
        <f>Parametros!D4&amp;" - "&amp;Parametros!D5</f>
        <v>1306304542001 - VELIZ NAPA JAVIER</v>
      </c>
      <c r="B1" s="323"/>
      <c r="C1" s="322"/>
      <c r="D1" s="322"/>
      <c r="E1" s="322"/>
      <c r="F1" s="322"/>
      <c r="G1" s="322"/>
      <c r="H1" s="322"/>
      <c r="I1" s="322"/>
      <c r="J1" s="323"/>
      <c r="K1" s="323"/>
      <c r="L1" s="322"/>
      <c r="M1" s="322"/>
      <c r="N1" s="324"/>
      <c r="O1" s="326"/>
      <c r="P1" s="326"/>
      <c r="Q1" s="326"/>
      <c r="R1" s="326"/>
      <c r="S1" s="326"/>
      <c r="T1" s="326"/>
      <c r="U1" s="321"/>
      <c r="V1" s="326"/>
      <c r="W1" s="326"/>
      <c r="X1" s="326"/>
      <c r="Y1" s="326"/>
      <c r="Z1" s="326"/>
      <c r="AA1" s="367"/>
      <c r="AB1" s="367"/>
      <c r="AC1" s="566"/>
      <c r="AD1" s="367"/>
      <c r="AE1" s="325"/>
      <c r="AF1" s="566"/>
    </row>
    <row r="2" spans="1:32" ht="19.5" customHeight="1" x14ac:dyDescent="0.25">
      <c r="A2" s="373" t="s">
        <v>1244</v>
      </c>
      <c r="B2" s="334"/>
      <c r="C2" s="334"/>
      <c r="D2" s="322"/>
      <c r="E2" s="322"/>
      <c r="F2" s="322"/>
      <c r="G2" s="322"/>
      <c r="H2" s="322"/>
      <c r="I2" s="322"/>
      <c r="J2" s="323"/>
      <c r="K2" s="323"/>
      <c r="L2" s="322"/>
      <c r="M2" s="322"/>
      <c r="N2" s="324"/>
      <c r="O2" s="326"/>
      <c r="P2" s="326"/>
      <c r="Q2" s="326"/>
      <c r="R2" s="326"/>
      <c r="S2" s="326"/>
      <c r="T2" s="326"/>
      <c r="U2" s="321"/>
      <c r="V2" s="326"/>
      <c r="W2" s="326"/>
      <c r="X2" s="326"/>
      <c r="Y2" s="326"/>
      <c r="Z2" s="326"/>
      <c r="AA2" s="367"/>
      <c r="AB2" s="367"/>
      <c r="AC2" s="566"/>
      <c r="AD2" s="367"/>
      <c r="AE2" s="325"/>
      <c r="AF2" s="566"/>
    </row>
    <row r="3" spans="1:32" ht="16" hidden="1" customHeight="1" x14ac:dyDescent="0.25">
      <c r="A3" s="336"/>
      <c r="B3" s="338"/>
      <c r="C3" s="338"/>
      <c r="D3" s="338"/>
      <c r="E3" s="338"/>
      <c r="F3" s="338"/>
      <c r="G3" s="338"/>
      <c r="H3" s="338"/>
      <c r="I3" s="338"/>
      <c r="J3" s="338"/>
      <c r="K3" s="338"/>
      <c r="L3" s="338"/>
      <c r="M3" s="338"/>
      <c r="N3" s="339"/>
      <c r="O3" s="340"/>
      <c r="P3" s="340"/>
      <c r="Q3" s="340"/>
      <c r="R3" s="340"/>
      <c r="S3" s="340"/>
      <c r="T3" s="340"/>
      <c r="U3" s="337"/>
      <c r="V3" s="340"/>
      <c r="W3" s="340"/>
      <c r="X3" s="340"/>
      <c r="Y3" s="340"/>
      <c r="Z3" s="340"/>
      <c r="AA3" s="336"/>
      <c r="AB3" s="336"/>
      <c r="AC3" s="336"/>
      <c r="AD3" s="336"/>
      <c r="AE3" s="337"/>
      <c r="AF3" s="336"/>
    </row>
    <row r="4" spans="1:32" s="615" customFormat="1" ht="14.5" customHeight="1" x14ac:dyDescent="0.25">
      <c r="A4" s="370"/>
      <c r="B4" s="371" t="str">
        <f>"# Registros REEMBOLSOS : " &amp; COUNTIF(N:N,"&gt;0")</f>
        <v># Registros REEMBOLSOS : 3</v>
      </c>
      <c r="C4" s="598"/>
      <c r="D4" s="565" t="s">
        <v>1278</v>
      </c>
      <c r="E4" s="601"/>
      <c r="F4" s="601"/>
      <c r="G4" s="597"/>
      <c r="H4" s="597"/>
      <c r="I4" s="601"/>
      <c r="J4" s="601"/>
      <c r="K4" s="601"/>
      <c r="L4" s="601"/>
      <c r="M4" s="601"/>
      <c r="N4" s="620"/>
      <c r="O4" s="599" t="s">
        <v>1279</v>
      </c>
      <c r="P4" s="537"/>
      <c r="Q4" s="537"/>
      <c r="R4" s="600"/>
      <c r="S4" s="599" t="s">
        <v>1981</v>
      </c>
      <c r="T4" s="537"/>
      <c r="U4" s="646"/>
      <c r="V4" s="537"/>
      <c r="W4" s="537"/>
      <c r="X4" s="537"/>
      <c r="Y4" s="537"/>
      <c r="Z4" s="600"/>
      <c r="AA4" s="650"/>
      <c r="AB4" s="651"/>
      <c r="AC4" s="652"/>
      <c r="AD4" s="651"/>
      <c r="AE4" s="613"/>
      <c r="AF4" s="652"/>
    </row>
    <row r="5" spans="1:32" ht="16" customHeight="1" x14ac:dyDescent="0.25">
      <c r="A5" s="1310" t="s">
        <v>680</v>
      </c>
      <c r="B5" s="1312" t="s">
        <v>995</v>
      </c>
      <c r="C5" s="1312" t="s">
        <v>1280</v>
      </c>
      <c r="D5" s="1308" t="s">
        <v>681</v>
      </c>
      <c r="E5" s="1312" t="s">
        <v>680</v>
      </c>
      <c r="F5" s="1312" t="s">
        <v>995</v>
      </c>
      <c r="G5" s="1308" t="s">
        <v>683</v>
      </c>
      <c r="H5" s="1308" t="s">
        <v>1001</v>
      </c>
      <c r="I5" s="1308" t="s">
        <v>685</v>
      </c>
      <c r="J5" s="1312" t="s">
        <v>686</v>
      </c>
      <c r="K5" s="1312" t="s">
        <v>687</v>
      </c>
      <c r="L5" s="1312" t="s">
        <v>688</v>
      </c>
      <c r="M5" s="1312" t="s">
        <v>689</v>
      </c>
      <c r="N5" s="1306" t="s">
        <v>690</v>
      </c>
      <c r="O5" s="812">
        <f>SUBTOTAL(9,O$6:O969)</f>
        <v>0</v>
      </c>
      <c r="P5" s="813">
        <f>SUBTOTAL(9,P$6:P969)</f>
        <v>0</v>
      </c>
      <c r="Q5" s="592">
        <f>SUBTOTAL(9,Q$6:Q969)</f>
        <v>0</v>
      </c>
      <c r="R5" s="592">
        <f>SUBTOTAL(9,R$6:R969)</f>
        <v>0</v>
      </c>
      <c r="S5" s="1353" t="s">
        <v>700</v>
      </c>
      <c r="T5" s="592">
        <f>SUBTOTAL(9,T$6:T969)</f>
        <v>0</v>
      </c>
      <c r="U5" s="1355" t="s">
        <v>702</v>
      </c>
      <c r="V5" s="812">
        <f>SUBTOTAL(9,V$6:V969)</f>
        <v>0</v>
      </c>
      <c r="W5" s="812">
        <f>SUBTOTAL(9,W$6:W969)</f>
        <v>0</v>
      </c>
      <c r="X5" s="813">
        <f>SUBTOTAL(9,X$6:X969)</f>
        <v>0</v>
      </c>
      <c r="Y5" s="592">
        <f>SUBTOTAL(9,Y$6:Y969)</f>
        <v>0</v>
      </c>
      <c r="Z5" s="592">
        <f>SUBTOTAL(9,Z$6:Z969)</f>
        <v>0</v>
      </c>
      <c r="AA5" s="1316" t="s">
        <v>2124</v>
      </c>
      <c r="AB5" s="1357" t="s">
        <v>1573</v>
      </c>
      <c r="AC5" s="1361" t="s">
        <v>1562</v>
      </c>
      <c r="AD5" s="1357" t="s">
        <v>1561</v>
      </c>
      <c r="AE5" s="1359" t="s">
        <v>1572</v>
      </c>
      <c r="AF5" s="1357" t="s">
        <v>2164</v>
      </c>
    </row>
    <row r="6" spans="1:32" ht="47.15" customHeight="1" x14ac:dyDescent="0.25">
      <c r="A6" s="1311"/>
      <c r="B6" s="1313"/>
      <c r="C6" s="1313"/>
      <c r="D6" s="1309"/>
      <c r="E6" s="1313"/>
      <c r="F6" s="1313"/>
      <c r="G6" s="1309"/>
      <c r="H6" s="1309"/>
      <c r="I6" s="1309"/>
      <c r="J6" s="1313"/>
      <c r="K6" s="1313"/>
      <c r="L6" s="1313"/>
      <c r="M6" s="1313"/>
      <c r="N6" s="1307"/>
      <c r="O6" s="862" t="s">
        <v>696</v>
      </c>
      <c r="P6" s="862" t="s">
        <v>697</v>
      </c>
      <c r="Q6" s="859" t="s">
        <v>698</v>
      </c>
      <c r="R6" s="859" t="s">
        <v>699</v>
      </c>
      <c r="S6" s="1354"/>
      <c r="T6" s="859" t="s">
        <v>701</v>
      </c>
      <c r="U6" s="1356"/>
      <c r="V6" s="862" t="s">
        <v>996</v>
      </c>
      <c r="W6" s="862" t="s">
        <v>1262</v>
      </c>
      <c r="X6" s="862" t="s">
        <v>1890</v>
      </c>
      <c r="Y6" s="859" t="s">
        <v>997</v>
      </c>
      <c r="Z6" s="862" t="s">
        <v>1261</v>
      </c>
      <c r="AA6" s="1317"/>
      <c r="AB6" s="1358"/>
      <c r="AC6" s="1362"/>
      <c r="AD6" s="1358"/>
      <c r="AE6" s="1360"/>
      <c r="AF6" s="1358"/>
    </row>
    <row r="7" spans="1:32" x14ac:dyDescent="0.25">
      <c r="A7" s="880"/>
      <c r="B7" s="880"/>
      <c r="C7" s="880"/>
      <c r="D7" s="881" t="s">
        <v>2297</v>
      </c>
      <c r="E7" s="880"/>
      <c r="F7" s="880"/>
      <c r="G7" s="881" t="s">
        <v>2302</v>
      </c>
      <c r="H7" s="881" t="s">
        <v>1008</v>
      </c>
      <c r="I7" s="881" t="s">
        <v>1032</v>
      </c>
      <c r="J7" s="882" t="s">
        <v>8</v>
      </c>
      <c r="K7" s="882" t="s">
        <v>8</v>
      </c>
      <c r="L7" s="880"/>
      <c r="M7" s="880"/>
      <c r="N7" s="868">
        <v>46023</v>
      </c>
      <c r="O7" s="883">
        <v>0</v>
      </c>
      <c r="P7" s="883">
        <v>0</v>
      </c>
      <c r="Q7" s="883">
        <v>0</v>
      </c>
      <c r="R7" s="883">
        <v>0</v>
      </c>
      <c r="S7" s="883">
        <v>15</v>
      </c>
      <c r="T7" s="883">
        <f>ROUND(R7*S7%,2)</f>
        <v>0</v>
      </c>
      <c r="U7" s="884" t="s">
        <v>745</v>
      </c>
      <c r="V7" s="883">
        <f>IF(U7="SI",IF(S7&lt;14,0,ROUND((R7*2%),2)),0)</f>
        <v>0</v>
      </c>
      <c r="W7" s="883">
        <v>0</v>
      </c>
      <c r="X7" s="883">
        <v>0</v>
      </c>
      <c r="Y7" s="883">
        <f>ROUND(SUM(O7:R7)+T7-V7+SUM(W7:X7),2)</f>
        <v>0</v>
      </c>
      <c r="Z7" s="883">
        <v>0</v>
      </c>
      <c r="AA7" s="880"/>
      <c r="AB7" s="880"/>
      <c r="AC7" s="882"/>
      <c r="AD7" s="880"/>
      <c r="AE7" s="881"/>
      <c r="AF7" s="882" t="s">
        <v>1528</v>
      </c>
    </row>
    <row r="8" spans="1:32" x14ac:dyDescent="0.25">
      <c r="A8" s="880"/>
      <c r="B8" s="880"/>
      <c r="C8" s="880"/>
      <c r="D8" s="881" t="s">
        <v>2297</v>
      </c>
      <c r="E8" s="880"/>
      <c r="F8" s="880"/>
      <c r="G8" s="881" t="s">
        <v>2302</v>
      </c>
      <c r="H8" s="881" t="s">
        <v>1008</v>
      </c>
      <c r="I8" s="881" t="s">
        <v>1032</v>
      </c>
      <c r="J8" s="882" t="s">
        <v>8</v>
      </c>
      <c r="K8" s="882" t="s">
        <v>8</v>
      </c>
      <c r="L8" s="880"/>
      <c r="M8" s="880"/>
      <c r="N8" s="868">
        <v>46023</v>
      </c>
      <c r="O8" s="883">
        <v>0</v>
      </c>
      <c r="P8" s="883">
        <v>0</v>
      </c>
      <c r="Q8" s="883">
        <v>0</v>
      </c>
      <c r="R8" s="883">
        <v>0</v>
      </c>
      <c r="S8" s="883">
        <v>15</v>
      </c>
      <c r="T8" s="883">
        <f>ROUND(R8*S8%,2)</f>
        <v>0</v>
      </c>
      <c r="U8" s="884" t="s">
        <v>745</v>
      </c>
      <c r="V8" s="883">
        <f>IF(U8="SI",IF(S8&lt;14,0,ROUND((R8*2%),2)),0)</f>
        <v>0</v>
      </c>
      <c r="W8" s="883">
        <v>0</v>
      </c>
      <c r="X8" s="883">
        <v>0</v>
      </c>
      <c r="Y8" s="883">
        <f>ROUND(SUM(O8:R8)+T8-V8+SUM(W8:X8),2)</f>
        <v>0</v>
      </c>
      <c r="Z8" s="883">
        <v>0</v>
      </c>
      <c r="AA8" s="880"/>
      <c r="AB8" s="880"/>
      <c r="AC8" s="882"/>
      <c r="AD8" s="880"/>
      <c r="AE8" s="881"/>
      <c r="AF8" s="882" t="s">
        <v>1528</v>
      </c>
    </row>
    <row r="9" spans="1:32" x14ac:dyDescent="0.25">
      <c r="A9" s="863"/>
      <c r="B9" s="863"/>
      <c r="C9" s="863"/>
      <c r="D9" s="434" t="s">
        <v>2297</v>
      </c>
      <c r="E9" s="863"/>
      <c r="F9" s="863"/>
      <c r="G9" s="434" t="s">
        <v>2302</v>
      </c>
      <c r="H9" s="434" t="s">
        <v>1008</v>
      </c>
      <c r="I9" s="434" t="s">
        <v>1032</v>
      </c>
      <c r="J9" s="864" t="s">
        <v>8</v>
      </c>
      <c r="K9" s="864" t="s">
        <v>8</v>
      </c>
      <c r="L9" s="863"/>
      <c r="M9" s="863"/>
      <c r="N9" s="868">
        <v>46023</v>
      </c>
      <c r="O9" s="866">
        <v>0</v>
      </c>
      <c r="P9" s="866">
        <v>0</v>
      </c>
      <c r="Q9" s="866">
        <v>0</v>
      </c>
      <c r="R9" s="866">
        <v>0</v>
      </c>
      <c r="S9" s="866">
        <v>15</v>
      </c>
      <c r="T9" s="866">
        <f>ROUND(R9*S9%,2)</f>
        <v>0</v>
      </c>
      <c r="U9" s="867" t="s">
        <v>745</v>
      </c>
      <c r="V9" s="866">
        <f>IF(U9="SI",IF(S9&lt;14,0,ROUND((R9*2%),2)),0)</f>
        <v>0</v>
      </c>
      <c r="W9" s="866">
        <v>0</v>
      </c>
      <c r="X9" s="866">
        <v>0</v>
      </c>
      <c r="Y9" s="866">
        <f>ROUND(SUM(O9:R9)+T9-V9+SUM(W9:X9),2)</f>
        <v>0</v>
      </c>
      <c r="Z9" s="866">
        <v>0</v>
      </c>
      <c r="AA9" s="863"/>
      <c r="AB9" s="863"/>
      <c r="AC9" s="864"/>
      <c r="AD9" s="863"/>
      <c r="AE9" s="434"/>
      <c r="AF9" s="864" t="s">
        <v>1528</v>
      </c>
    </row>
  </sheetData>
  <autoFilter ref="A6:AE6" xr:uid="{322BB187-1DA3-4055-B43A-3D553E888103}"/>
  <mergeCells count="22">
    <mergeCell ref="AF5:AF6"/>
    <mergeCell ref="AE5:AE6"/>
    <mergeCell ref="AB5:AB6"/>
    <mergeCell ref="AC5:AC6"/>
    <mergeCell ref="AD5:AD6"/>
    <mergeCell ref="G5:G6"/>
    <mergeCell ref="N5:N6"/>
    <mergeCell ref="S5:S6"/>
    <mergeCell ref="U5:U6"/>
    <mergeCell ref="AA5:AA6"/>
    <mergeCell ref="H5:H6"/>
    <mergeCell ref="I5:I6"/>
    <mergeCell ref="J5:J6"/>
    <mergeCell ref="K5:K6"/>
    <mergeCell ref="L5:L6"/>
    <mergeCell ref="M5:M6"/>
    <mergeCell ref="F5:F6"/>
    <mergeCell ref="A5:A6"/>
    <mergeCell ref="B5:B6"/>
    <mergeCell ref="C5:C6"/>
    <mergeCell ref="D5:D6"/>
    <mergeCell ref="E5:E6"/>
  </mergeCells>
  <phoneticPr fontId="55" type="noConversion"/>
  <conditionalFormatting sqref="AF7:AF370 A7:AD370">
    <cfRule type="expression" dxfId="6" priority="36">
      <formula>ROW()=RowREE</formula>
    </cfRule>
  </conditionalFormatting>
  <dataValidations count="10">
    <dataValidation type="textLength" errorStyle="warning" operator="equal" allowBlank="1" showInputMessage="1" showErrorMessage="1" errorTitle="Validación de datos" error="Debe ingresar los 10 caracteres correspondientes en cada celda ó dejarla vacia de ser el caso." sqref="M5" xr:uid="{00000000-0002-0000-0200-000000000000}">
      <formula1>10</formula1>
    </dataValidation>
    <dataValidation type="textLength" errorStyle="warning" operator="equal" allowBlank="1" showInputMessage="1" showErrorMessage="1" errorTitle="Validación de datos" error="Debe ingresar los 3 caracteres correspondientes en cada celda ó dejarla vacia de ser el caso." sqref="J5:K5 J7:K1048576" xr:uid="{00000000-0002-0000-0200-000005000000}">
      <formula1>3</formula1>
    </dataValidation>
    <dataValidation type="list" allowBlank="1" showInputMessage="1" showErrorMessage="1" sqref="D7:D1048576" xr:uid="{00000000-0002-0000-0200-000001000000}">
      <formula1>"R-Ruc,C-Cédula,P-Pasaporte,E-ID Exterior"</formula1>
    </dataValidation>
    <dataValidation type="list" allowBlank="1" showInputMessage="1" showErrorMessage="1" sqref="U7:U1048576" xr:uid="{00000000-0002-0000-0200-000002000000}">
      <formula1>"SI,NO"</formula1>
    </dataValidation>
    <dataValidation type="textLength" errorStyle="warning" allowBlank="1" showInputMessage="1" showErrorMessage="1" errorTitle="Validación de datos" error="Debe ingresar los 10 o 37 o 49 caracteres correspondientes en cada celda ó dejarla vacia de ser el caso." sqref="M7:M1048576" xr:uid="{00000000-0002-0000-0200-000004000000}">
      <formula1>10</formula1>
      <formula2>49</formula2>
    </dataValidation>
    <dataValidation type="list" allowBlank="1" showInputMessage="1" showErrorMessage="1" sqref="I7:I1048576" xr:uid="{00000000-0002-0000-0200-000006000000}">
      <formula1>ComprobantesCOM</formula1>
    </dataValidation>
    <dataValidation type="list" allowBlank="1" showInputMessage="1" showErrorMessage="1" sqref="H7:H1048576" xr:uid="{00000000-0002-0000-0200-000007000000}">
      <formula1>"F-Fisico,E-Electronico"</formula1>
    </dataValidation>
    <dataValidation type="list" allowBlank="1" showInputMessage="1" showErrorMessage="1" sqref="G7:G1048576" xr:uid="{9FE2C79D-59FA-463B-A0E8-40127B9C3C52}">
      <formula1>"01-Persona Natural,02-Sociedad"</formula1>
    </dataValidation>
    <dataValidation type="list" allowBlank="1" showInputMessage="1" showErrorMessage="1" sqref="S7:S1048576" xr:uid="{ADC10BD1-818D-4850-BFDD-9B27C1E3EACA}">
      <formula1>tarifasIVA</formula1>
    </dataValidation>
    <dataValidation type="list" allowBlank="1" showInputMessage="1" showErrorMessage="1" sqref="AE7:AE1048576" xr:uid="{87128FFE-B825-4E62-98B5-EE16E457FFAA}">
      <formula1>IF($BZ7="02-PARAISO FISCAL",paises17b,IF($BZ7="01-REGIMEN GENERAL",$CA7,paises))</formula1>
    </dataValidation>
  </dataValidations>
  <pageMargins left="0.7" right="0.7" top="0.75" bottom="0.75" header="0.3" footer="0.3"/>
  <pageSetup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Hoja7"/>
  <dimension ref="A1:AR9"/>
  <sheetViews>
    <sheetView showGridLines="0" zoomScaleNormal="100" workbookViewId="0">
      <pane xSplit="3" ySplit="6" topLeftCell="D7" activePane="bottomRight" state="frozen"/>
      <selection activeCell="D7" sqref="D7"/>
      <selection pane="topRight" activeCell="D7" sqref="D7"/>
      <selection pane="bottomLeft" activeCell="D7" sqref="D7"/>
      <selection pane="bottomRight" activeCell="D7" sqref="D7"/>
    </sheetView>
  </sheetViews>
  <sheetFormatPr baseColWidth="10" defaultColWidth="10.81640625" defaultRowHeight="11.5" outlineLevelCol="1" x14ac:dyDescent="0.25"/>
  <cols>
    <col min="1" max="1" width="15" style="350" customWidth="1"/>
    <col min="2" max="2" width="10.81640625" style="333" customWidth="1"/>
    <col min="3" max="3" width="32.26953125" style="350" customWidth="1"/>
    <col min="4" max="4" width="17.453125" style="333" bestFit="1" customWidth="1"/>
    <col min="5" max="5" width="7.81640625" style="351" customWidth="1"/>
    <col min="6" max="6" width="21.1796875" style="333" bestFit="1" customWidth="1"/>
    <col min="7" max="9" width="21.81640625" style="333" hidden="1" customWidth="1" outlineLevel="1"/>
    <col min="10" max="10" width="21.81640625" style="333" customWidth="1" collapsed="1"/>
    <col min="11" max="11" width="7.81640625" style="368" customWidth="1"/>
    <col min="12" max="12" width="33.81640625" style="333" bestFit="1" customWidth="1"/>
    <col min="13" max="13" width="23" style="333" hidden="1" customWidth="1" outlineLevel="1"/>
    <col min="14" max="14" width="8.453125" style="351" hidden="1" customWidth="1" outlineLevel="1"/>
    <col min="15" max="15" width="12.26953125" style="353" hidden="1" customWidth="1" outlineLevel="1"/>
    <col min="16" max="16" width="18.81640625" style="333" customWidth="1" collapsed="1"/>
    <col min="17" max="17" width="24.453125" style="333" customWidth="1"/>
    <col min="18" max="18" width="12.54296875" style="352" bestFit="1" customWidth="1"/>
    <col min="19" max="19" width="13" style="350" customWidth="1"/>
    <col min="20" max="20" width="10.81640625" style="333"/>
    <col min="21" max="21" width="9.1796875" style="333" customWidth="1"/>
    <col min="22" max="22" width="12" style="350" customWidth="1"/>
    <col min="23" max="24" width="12.1796875" style="333" customWidth="1"/>
    <col min="25" max="25" width="15.54296875" style="333" customWidth="1"/>
    <col min="26" max="27" width="6.1796875" style="350" customWidth="1"/>
    <col min="28" max="28" width="10.81640625" style="350"/>
    <col min="29" max="29" width="12.26953125" style="350" customWidth="1"/>
    <col min="30" max="30" width="13" style="352" customWidth="1"/>
    <col min="31" max="32" width="13" style="353" customWidth="1"/>
    <col min="33" max="33" width="6.453125" style="431" customWidth="1"/>
    <col min="34" max="34" width="13.1796875" style="353" customWidth="1"/>
    <col min="35" max="35" width="6.453125" style="431" customWidth="1"/>
    <col min="36" max="36" width="11" style="353" bestFit="1" customWidth="1"/>
    <col min="37" max="37" width="1.1796875" style="333" customWidth="1"/>
    <col min="38" max="38" width="8.54296875" style="351" customWidth="1"/>
    <col min="39" max="39" width="8.453125" style="351" customWidth="1"/>
    <col min="40" max="40" width="11" style="353" hidden="1" customWidth="1" outlineLevel="1"/>
    <col min="41" max="41" width="0" style="353" hidden="1" customWidth="1" outlineLevel="1"/>
    <col min="42" max="42" width="22.81640625" style="350" customWidth="1" collapsed="1"/>
    <col min="43" max="43" width="48" style="333" customWidth="1"/>
    <col min="44" max="16384" width="10.81640625" style="333"/>
  </cols>
  <sheetData>
    <row r="1" spans="1:44" ht="20.149999999999999" customHeight="1" x14ac:dyDescent="0.25">
      <c r="A1" s="372" t="str">
        <f>Parametros!D4&amp;" - "&amp;Parametros!D5</f>
        <v>1306304542001 - VELIZ NAPA JAVIER</v>
      </c>
      <c r="B1" s="321"/>
      <c r="C1" s="322"/>
      <c r="D1" s="322"/>
      <c r="E1" s="323"/>
      <c r="F1" s="322"/>
      <c r="G1" s="322"/>
      <c r="H1" s="322"/>
      <c r="I1" s="322"/>
      <c r="J1" s="322"/>
      <c r="K1" s="323"/>
      <c r="L1" s="322"/>
      <c r="M1" s="322"/>
      <c r="N1" s="323"/>
      <c r="O1" s="326"/>
      <c r="P1" s="322"/>
      <c r="Q1" s="322"/>
      <c r="R1" s="324"/>
      <c r="S1" s="322"/>
      <c r="T1" s="322"/>
      <c r="U1" s="325"/>
      <c r="V1" s="322"/>
      <c r="W1" s="322"/>
      <c r="X1" s="322"/>
      <c r="Y1" s="322"/>
      <c r="Z1" s="322"/>
      <c r="AA1" s="322"/>
      <c r="AB1" s="322"/>
      <c r="AC1" s="322"/>
      <c r="AD1" s="324"/>
      <c r="AE1" s="326"/>
      <c r="AF1" s="326"/>
      <c r="AG1" s="429"/>
      <c r="AH1" s="326"/>
      <c r="AI1" s="432"/>
      <c r="AJ1" s="326"/>
      <c r="AK1" s="325"/>
      <c r="AL1" s="321"/>
      <c r="AM1" s="321"/>
      <c r="AN1" s="326"/>
      <c r="AO1" s="326"/>
      <c r="AP1" s="322"/>
      <c r="AQ1" s="325"/>
      <c r="AR1" s="325"/>
    </row>
    <row r="2" spans="1:44" ht="19.5" customHeight="1" x14ac:dyDescent="0.25">
      <c r="A2" s="373" t="s">
        <v>1243</v>
      </c>
      <c r="B2" s="334"/>
      <c r="C2" s="334"/>
      <c r="D2" s="334"/>
      <c r="E2" s="323"/>
      <c r="F2" s="322"/>
      <c r="G2" s="322"/>
      <c r="H2" s="322"/>
      <c r="I2" s="322"/>
      <c r="J2" s="322"/>
      <c r="K2" s="323"/>
      <c r="L2" s="322"/>
      <c r="M2" s="322"/>
      <c r="N2" s="323"/>
      <c r="O2" s="326"/>
      <c r="P2" s="322"/>
      <c r="Q2" s="322"/>
      <c r="R2" s="324"/>
      <c r="S2" s="322"/>
      <c r="T2" s="322"/>
      <c r="U2" s="325"/>
      <c r="V2" s="322"/>
      <c r="W2" s="322"/>
      <c r="X2" s="322"/>
      <c r="Y2" s="322"/>
      <c r="Z2" s="322"/>
      <c r="AA2" s="322"/>
      <c r="AB2" s="322"/>
      <c r="AC2" s="322"/>
      <c r="AD2" s="324"/>
      <c r="AE2" s="326"/>
      <c r="AF2" s="326"/>
      <c r="AG2" s="429"/>
      <c r="AH2" s="326"/>
      <c r="AI2" s="432"/>
      <c r="AJ2" s="326"/>
      <c r="AK2" s="325"/>
      <c r="AL2" s="321"/>
      <c r="AM2" s="321"/>
      <c r="AN2" s="326"/>
      <c r="AO2" s="326"/>
      <c r="AP2" s="322"/>
      <c r="AQ2" s="325"/>
      <c r="AR2" s="325"/>
    </row>
    <row r="3" spans="1:44" ht="16" hidden="1" customHeight="1" x14ac:dyDescent="0.25">
      <c r="A3" s="336"/>
      <c r="B3" s="337"/>
      <c r="C3" s="338"/>
      <c r="D3" s="338"/>
      <c r="E3" s="338"/>
      <c r="F3" s="338"/>
      <c r="G3" s="338"/>
      <c r="H3" s="338"/>
      <c r="I3" s="338"/>
      <c r="J3" s="338"/>
      <c r="K3" s="338"/>
      <c r="L3" s="338"/>
      <c r="M3" s="338"/>
      <c r="N3" s="338"/>
      <c r="O3" s="340"/>
      <c r="P3" s="338"/>
      <c r="Q3" s="338"/>
      <c r="R3" s="339"/>
      <c r="S3" s="338"/>
      <c r="T3" s="338"/>
      <c r="U3" s="337"/>
      <c r="V3" s="338"/>
      <c r="W3" s="338"/>
      <c r="X3" s="365"/>
      <c r="Y3" s="338"/>
      <c r="Z3" s="338"/>
      <c r="AA3" s="338"/>
      <c r="AB3" s="338"/>
      <c r="AC3" s="338"/>
      <c r="AD3" s="339"/>
      <c r="AE3" s="340"/>
      <c r="AF3" s="340"/>
      <c r="AG3" s="430"/>
      <c r="AH3" s="340"/>
      <c r="AI3" s="433"/>
      <c r="AJ3" s="340"/>
      <c r="AK3" s="337"/>
      <c r="AL3" s="337"/>
      <c r="AM3" s="337"/>
      <c r="AN3" s="340"/>
      <c r="AO3" s="340"/>
      <c r="AP3" s="338"/>
      <c r="AQ3" s="337"/>
      <c r="AR3" s="366"/>
    </row>
    <row r="4" spans="1:44" s="649" customFormat="1" ht="14.5" customHeight="1" x14ac:dyDescent="0.35">
      <c r="A4" s="379"/>
      <c r="B4" s="371" t="str">
        <f>"# Registros EXPORTACIONES : " &amp; COUNTIF(R:R,"&gt;0")</f>
        <v># Registros EXPORTACIONES : 3</v>
      </c>
      <c r="C4" s="595" t="s">
        <v>1281</v>
      </c>
      <c r="D4" s="804"/>
      <c r="E4" s="610"/>
      <c r="F4" s="597" t="s">
        <v>2130</v>
      </c>
      <c r="G4" s="610"/>
      <c r="H4" s="610"/>
      <c r="I4" s="610"/>
      <c r="J4" s="610"/>
      <c r="K4" s="610"/>
      <c r="L4" s="597" t="s">
        <v>2132</v>
      </c>
      <c r="M4" s="646" t="s">
        <v>2129</v>
      </c>
      <c r="N4" s="653"/>
      <c r="O4" s="654"/>
      <c r="P4" s="608" t="s">
        <v>2131</v>
      </c>
      <c r="Q4" s="608" t="s">
        <v>2131</v>
      </c>
      <c r="R4" s="648"/>
      <c r="S4" s="646" t="s">
        <v>2133</v>
      </c>
      <c r="T4" s="646"/>
      <c r="U4" s="646"/>
      <c r="V4" s="601"/>
      <c r="W4" s="646"/>
      <c r="X4" s="595" t="s">
        <v>1282</v>
      </c>
      <c r="Y4" s="653"/>
      <c r="Z4" s="653"/>
      <c r="AA4" s="653"/>
      <c r="AB4" s="653"/>
      <c r="AC4" s="653"/>
      <c r="AD4" s="805"/>
      <c r="AE4" s="806"/>
      <c r="AF4" s="807"/>
      <c r="AG4" s="604" t="s">
        <v>1283</v>
      </c>
      <c r="AH4" s="806"/>
      <c r="AI4" s="808"/>
      <c r="AJ4" s="807"/>
      <c r="AK4" s="534"/>
      <c r="AL4" s="534" t="s">
        <v>679</v>
      </c>
      <c r="AM4" s="534" t="s">
        <v>679</v>
      </c>
      <c r="AN4" s="647" t="s">
        <v>679</v>
      </c>
      <c r="AO4" s="647" t="s">
        <v>679</v>
      </c>
      <c r="AP4" s="610"/>
      <c r="AQ4" s="534"/>
      <c r="AR4" s="534"/>
    </row>
    <row r="5" spans="1:44" ht="16" customHeight="1" thickBot="1" x14ac:dyDescent="0.3">
      <c r="A5" s="1365" t="s">
        <v>680</v>
      </c>
      <c r="B5" s="1363" t="s">
        <v>681</v>
      </c>
      <c r="C5" s="1367" t="s">
        <v>682</v>
      </c>
      <c r="D5" s="1363" t="s">
        <v>683</v>
      </c>
      <c r="E5" s="1363" t="s">
        <v>684</v>
      </c>
      <c r="F5" s="1369" t="s">
        <v>733</v>
      </c>
      <c r="G5" s="1369" t="s">
        <v>1009</v>
      </c>
      <c r="H5" s="1369" t="s">
        <v>1010</v>
      </c>
      <c r="I5" s="1371" t="s">
        <v>1011</v>
      </c>
      <c r="J5" s="1369" t="s">
        <v>1012</v>
      </c>
      <c r="K5" s="1367" t="s">
        <v>1013</v>
      </c>
      <c r="L5" s="1363" t="s">
        <v>1014</v>
      </c>
      <c r="M5" s="1363" t="s">
        <v>1015</v>
      </c>
      <c r="N5" s="1363" t="s">
        <v>1016</v>
      </c>
      <c r="O5" s="809">
        <f>SUBTOTAL(9,O$6:O466)</f>
        <v>0</v>
      </c>
      <c r="P5" s="1363" t="s">
        <v>1018</v>
      </c>
      <c r="Q5" s="1363" t="s">
        <v>1019</v>
      </c>
      <c r="R5" s="1373" t="s">
        <v>1020</v>
      </c>
      <c r="S5" s="1367" t="s">
        <v>1021</v>
      </c>
      <c r="T5" s="1367" t="s">
        <v>1022</v>
      </c>
      <c r="U5" s="1363" t="s">
        <v>1023</v>
      </c>
      <c r="V5" s="1367" t="s">
        <v>1024</v>
      </c>
      <c r="W5" s="1367" t="s">
        <v>1025</v>
      </c>
      <c r="X5" s="1363" t="s">
        <v>1001</v>
      </c>
      <c r="Y5" s="1363" t="s">
        <v>685</v>
      </c>
      <c r="Z5" s="1367" t="s">
        <v>686</v>
      </c>
      <c r="AA5" s="1367" t="s">
        <v>687</v>
      </c>
      <c r="AB5" s="1367" t="s">
        <v>688</v>
      </c>
      <c r="AC5" s="1367" t="s">
        <v>689</v>
      </c>
      <c r="AD5" s="1373" t="s">
        <v>690</v>
      </c>
      <c r="AE5" s="810">
        <f>SUBTOTAL(9,AE$6:AE466)</f>
        <v>0</v>
      </c>
      <c r="AF5" s="592">
        <f>SUBTOTAL(9,AF$6:AF466)</f>
        <v>0</v>
      </c>
      <c r="AG5" s="1341" t="s">
        <v>1966</v>
      </c>
      <c r="AH5" s="588">
        <f>SUBTOTAL(9,AH$6:AH993)</f>
        <v>0</v>
      </c>
      <c r="AI5" s="1341" t="s">
        <v>1967</v>
      </c>
      <c r="AJ5" s="588">
        <f>SUBTOTAL(9,AJ$6:AJ993)</f>
        <v>0</v>
      </c>
      <c r="AK5" s="346"/>
      <c r="AL5" s="1377" t="s">
        <v>1186</v>
      </c>
      <c r="AM5" s="1377" t="s">
        <v>1266</v>
      </c>
      <c r="AN5" s="1379" t="s">
        <v>740</v>
      </c>
      <c r="AO5" s="1379" t="s">
        <v>741</v>
      </c>
      <c r="AP5" s="1381" t="s">
        <v>743</v>
      </c>
      <c r="AQ5" s="1375" t="s">
        <v>1184</v>
      </c>
      <c r="AR5" s="346"/>
    </row>
    <row r="6" spans="1:44" ht="47.15" customHeight="1" x14ac:dyDescent="0.25">
      <c r="A6" s="1366"/>
      <c r="B6" s="1364"/>
      <c r="C6" s="1368"/>
      <c r="D6" s="1364"/>
      <c r="E6" s="1364"/>
      <c r="F6" s="1370"/>
      <c r="G6" s="1370"/>
      <c r="H6" s="1370"/>
      <c r="I6" s="1372"/>
      <c r="J6" s="1370"/>
      <c r="K6" s="1368"/>
      <c r="L6" s="1364"/>
      <c r="M6" s="1364"/>
      <c r="N6" s="1364"/>
      <c r="O6" s="873" t="s">
        <v>1017</v>
      </c>
      <c r="P6" s="1364"/>
      <c r="Q6" s="1364"/>
      <c r="R6" s="1374"/>
      <c r="S6" s="1368"/>
      <c r="T6" s="1368"/>
      <c r="U6" s="1364"/>
      <c r="V6" s="1368"/>
      <c r="W6" s="1368"/>
      <c r="X6" s="1364"/>
      <c r="Y6" s="1364"/>
      <c r="Z6" s="1368"/>
      <c r="AA6" s="1368"/>
      <c r="AB6" s="1368"/>
      <c r="AC6" s="1368"/>
      <c r="AD6" s="1374"/>
      <c r="AE6" s="873" t="s">
        <v>1026</v>
      </c>
      <c r="AF6" s="874" t="s">
        <v>1027</v>
      </c>
      <c r="AG6" s="1267"/>
      <c r="AH6" s="590" t="s">
        <v>704</v>
      </c>
      <c r="AI6" s="1267"/>
      <c r="AJ6" s="590" t="s">
        <v>704</v>
      </c>
      <c r="AK6" s="349"/>
      <c r="AL6" s="1378"/>
      <c r="AM6" s="1378"/>
      <c r="AN6" s="1380"/>
      <c r="AO6" s="1380"/>
      <c r="AP6" s="1382"/>
      <c r="AQ6" s="1376"/>
      <c r="AR6" s="349"/>
    </row>
    <row r="7" spans="1:44" x14ac:dyDescent="0.25">
      <c r="A7" s="880"/>
      <c r="B7" s="881" t="s">
        <v>2297</v>
      </c>
      <c r="C7" s="880"/>
      <c r="D7" s="881"/>
      <c r="E7" s="884" t="s">
        <v>745</v>
      </c>
      <c r="F7" s="881" t="s">
        <v>2293</v>
      </c>
      <c r="G7" s="881"/>
      <c r="H7" s="881"/>
      <c r="I7" s="881"/>
      <c r="J7" s="881"/>
      <c r="K7" s="882" t="s">
        <v>745</v>
      </c>
      <c r="L7" s="881" t="s">
        <v>590</v>
      </c>
      <c r="M7" s="881"/>
      <c r="N7" s="884" t="s">
        <v>745</v>
      </c>
      <c r="O7" s="883">
        <v>0</v>
      </c>
      <c r="P7" s="881" t="s">
        <v>594</v>
      </c>
      <c r="Q7" s="881" t="s">
        <v>580</v>
      </c>
      <c r="R7" s="885">
        <v>46023</v>
      </c>
      <c r="S7" s="880"/>
      <c r="T7" s="881"/>
      <c r="U7" s="881">
        <f>YEAR(R7)</f>
        <v>2026</v>
      </c>
      <c r="V7" s="880"/>
      <c r="W7" s="881"/>
      <c r="X7" s="881" t="s">
        <v>1008</v>
      </c>
      <c r="Y7" s="881" t="s">
        <v>1032</v>
      </c>
      <c r="Z7" s="880"/>
      <c r="AA7" s="880"/>
      <c r="AB7" s="880"/>
      <c r="AC7" s="880"/>
      <c r="AD7" s="886"/>
      <c r="AE7" s="883">
        <v>0</v>
      </c>
      <c r="AF7" s="883">
        <v>0</v>
      </c>
      <c r="AG7" s="884">
        <v>417</v>
      </c>
      <c r="AH7" s="883">
        <f>IF(ISBLANK($L7),0,IF(AG7=417,IF(OR(VALUE(LEFT($L7,2))=1,VALUE(LEFT($L7,2))=2),$AF7,0),IF(AG7=418,IF(VALUE(LEFT($L7,2))=3,$AF7,0),0)))</f>
        <v>0</v>
      </c>
      <c r="AI7" s="884">
        <v>418</v>
      </c>
      <c r="AJ7" s="883">
        <f>IF(ISBLANK($L7),0,IF(AI7=417,IF(OR(VALUE(LEFT($L7,2))=1,VALUE(LEFT($L7,2))=2),$AF7,0),IF(AI7=418,IF(VALUE(LEFT($L7,2))=3,$AF7,0),0)))</f>
        <v>0</v>
      </c>
      <c r="AK7" s="881"/>
      <c r="AL7" s="884">
        <f>IF(ISNUMBER(R7),MONTH(R7),0)</f>
        <v>1</v>
      </c>
      <c r="AM7" s="887" t="str">
        <f>IF(ISNUMBER(R7),IF(ISERROR(HLOOKUP(MONTH(R7),meses_104,1,0)),"NO","SI"),"NO")</f>
        <v>SI</v>
      </c>
      <c r="AN7" s="883">
        <f>IF(ISBLANK(Y7),0,IF(VALUE(LEFT(Y7,2))=4,0,AH7))</f>
        <v>0</v>
      </c>
      <c r="AO7" s="883">
        <f>IF(ISBLANK(Y7),0,IF(VALUE(LEFT(Y7,2))=4,0,AJ7))</f>
        <v>0</v>
      </c>
      <c r="AP7" s="880"/>
      <c r="AQ7" s="881" t="s">
        <v>1245</v>
      </c>
    </row>
    <row r="8" spans="1:44" x14ac:dyDescent="0.25">
      <c r="A8" s="880"/>
      <c r="B8" s="881" t="s">
        <v>2297</v>
      </c>
      <c r="C8" s="880"/>
      <c r="D8" s="881"/>
      <c r="E8" s="884" t="s">
        <v>745</v>
      </c>
      <c r="F8" s="881" t="s">
        <v>2293</v>
      </c>
      <c r="G8" s="881"/>
      <c r="H8" s="881"/>
      <c r="I8" s="881"/>
      <c r="J8" s="881"/>
      <c r="K8" s="882" t="s">
        <v>745</v>
      </c>
      <c r="L8" s="881" t="s">
        <v>590</v>
      </c>
      <c r="M8" s="881"/>
      <c r="N8" s="884" t="s">
        <v>745</v>
      </c>
      <c r="O8" s="883">
        <v>0</v>
      </c>
      <c r="P8" s="881" t="s">
        <v>594</v>
      </c>
      <c r="Q8" s="881" t="s">
        <v>580</v>
      </c>
      <c r="R8" s="885">
        <v>46023</v>
      </c>
      <c r="S8" s="880"/>
      <c r="T8" s="881"/>
      <c r="U8" s="881">
        <f>YEAR(R8)</f>
        <v>2026</v>
      </c>
      <c r="V8" s="880"/>
      <c r="W8" s="881"/>
      <c r="X8" s="881" t="s">
        <v>1008</v>
      </c>
      <c r="Y8" s="881" t="s">
        <v>1032</v>
      </c>
      <c r="Z8" s="880"/>
      <c r="AA8" s="880"/>
      <c r="AB8" s="880"/>
      <c r="AC8" s="880"/>
      <c r="AD8" s="886"/>
      <c r="AE8" s="883">
        <v>0</v>
      </c>
      <c r="AF8" s="883">
        <v>0</v>
      </c>
      <c r="AG8" s="884">
        <v>417</v>
      </c>
      <c r="AH8" s="883">
        <f>IF(ISBLANK($L8),0,IF(AG8=417,IF(OR(VALUE(LEFT($L8,2))=1,VALUE(LEFT($L8,2))=2),$AF8,0),IF(AG8=418,IF(VALUE(LEFT($L8,2))=3,$AF8,0),0)))</f>
        <v>0</v>
      </c>
      <c r="AI8" s="884">
        <v>418</v>
      </c>
      <c r="AJ8" s="883">
        <f>IF(ISBLANK($L8),0,IF(AI8=417,IF(OR(VALUE(LEFT($L8,2))=1,VALUE(LEFT($L8,2))=2),$AF8,0),IF(AI8=418,IF(VALUE(LEFT($L8,2))=3,$AF8,0),0)))</f>
        <v>0</v>
      </c>
      <c r="AK8" s="881"/>
      <c r="AL8" s="884">
        <f>IF(ISNUMBER(R8),MONTH(R8),0)</f>
        <v>1</v>
      </c>
      <c r="AM8" s="887" t="str">
        <f>IF(ISNUMBER(R8),IF(ISERROR(HLOOKUP(MONTH(R8),meses_104,1,0)),"NO","SI"),"NO")</f>
        <v>SI</v>
      </c>
      <c r="AN8" s="883">
        <f>IF(ISBLANK(Y8),0,IF(VALUE(LEFT(Y8,2))=4,0,AH8))</f>
        <v>0</v>
      </c>
      <c r="AO8" s="883">
        <f>IF(ISBLANK(Y8),0,IF(VALUE(LEFT(Y8,2))=4,0,AJ8))</f>
        <v>0</v>
      </c>
      <c r="AP8" s="880"/>
      <c r="AQ8" s="881" t="s">
        <v>1245</v>
      </c>
    </row>
    <row r="9" spans="1:44" x14ac:dyDescent="0.25">
      <c r="A9" s="863"/>
      <c r="B9" s="434" t="s">
        <v>2297</v>
      </c>
      <c r="C9" s="863"/>
      <c r="D9" s="434"/>
      <c r="E9" s="867" t="s">
        <v>745</v>
      </c>
      <c r="F9" s="434" t="s">
        <v>2293</v>
      </c>
      <c r="G9" s="434"/>
      <c r="H9" s="434"/>
      <c r="I9" s="434"/>
      <c r="J9" s="434"/>
      <c r="K9" s="864" t="s">
        <v>745</v>
      </c>
      <c r="L9" s="434" t="s">
        <v>590</v>
      </c>
      <c r="M9" s="434"/>
      <c r="N9" s="867" t="s">
        <v>745</v>
      </c>
      <c r="O9" s="866">
        <v>0</v>
      </c>
      <c r="P9" s="434" t="s">
        <v>594</v>
      </c>
      <c r="Q9" s="434" t="s">
        <v>580</v>
      </c>
      <c r="R9" s="865">
        <v>46023</v>
      </c>
      <c r="S9" s="863"/>
      <c r="T9" s="434"/>
      <c r="U9" s="434">
        <f>YEAR(R9)</f>
        <v>2026</v>
      </c>
      <c r="V9" s="863"/>
      <c r="W9" s="434"/>
      <c r="X9" s="434" t="s">
        <v>1008</v>
      </c>
      <c r="Y9" s="434" t="s">
        <v>1032</v>
      </c>
      <c r="Z9" s="863"/>
      <c r="AA9" s="863"/>
      <c r="AB9" s="863"/>
      <c r="AC9" s="863"/>
      <c r="AD9" s="871"/>
      <c r="AE9" s="866">
        <v>0</v>
      </c>
      <c r="AF9" s="866">
        <v>0</v>
      </c>
      <c r="AG9" s="867">
        <v>417</v>
      </c>
      <c r="AH9" s="866">
        <f>IF(ISBLANK($L9),0,IF(AG9=417,IF(OR(VALUE(LEFT($L9,2))=1,VALUE(LEFT($L9,2))=2),$AF9,0),IF(AG9=418,IF(VALUE(LEFT($L9,2))=3,$AF9,0),0)))</f>
        <v>0</v>
      </c>
      <c r="AI9" s="867">
        <v>418</v>
      </c>
      <c r="AJ9" s="866">
        <f>IF(ISBLANK($L9),0,IF(AI9=417,IF(OR(VALUE(LEFT($L9,2))=1,VALUE(LEFT($L9,2))=2),$AF9,0),IF(AI9=418,IF(VALUE(LEFT($L9,2))=3,$AF9,0),0)))</f>
        <v>0</v>
      </c>
      <c r="AK9" s="434"/>
      <c r="AL9" s="867">
        <f>IF(ISNUMBER(R9),MONTH(R9),0)</f>
        <v>1</v>
      </c>
      <c r="AM9" s="872" t="str">
        <f>IF(ISNUMBER(R9),IF(ISERROR(HLOOKUP(MONTH(R9),meses_104,1,0)),"NO","SI"),"NO")</f>
        <v>SI</v>
      </c>
      <c r="AN9" s="866">
        <f>IF(ISBLANK(Y9),0,IF(VALUE(LEFT(Y9,2))=4,0,AH9))</f>
        <v>0</v>
      </c>
      <c r="AO9" s="866">
        <f>IF(ISBLANK(Y9),0,IF(VALUE(LEFT(Y9,2))=4,0,AJ9))</f>
        <v>0</v>
      </c>
      <c r="AP9" s="863"/>
      <c r="AQ9" s="434" t="s">
        <v>1245</v>
      </c>
    </row>
  </sheetData>
  <autoFilter ref="A6:AR6" xr:uid="{5417A8AA-3F38-4981-8848-38FF3C880F9C}"/>
  <mergeCells count="37">
    <mergeCell ref="AQ5:AQ6"/>
    <mergeCell ref="AD5:AD6"/>
    <mergeCell ref="AL5:AL6"/>
    <mergeCell ref="AM5:AM6"/>
    <mergeCell ref="AN5:AN6"/>
    <mergeCell ref="AO5:AO6"/>
    <mergeCell ref="AP5:AP6"/>
    <mergeCell ref="AG5:AG6"/>
    <mergeCell ref="AI5:AI6"/>
    <mergeCell ref="AC5:AC6"/>
    <mergeCell ref="P5:P6"/>
    <mergeCell ref="Q5:Q6"/>
    <mergeCell ref="R5:R6"/>
    <mergeCell ref="S5:S6"/>
    <mergeCell ref="T5:T6"/>
    <mergeCell ref="U5:U6"/>
    <mergeCell ref="Z5:Z6"/>
    <mergeCell ref="V5:V6"/>
    <mergeCell ref="W5:W6"/>
    <mergeCell ref="X5:X6"/>
    <mergeCell ref="AA5:AA6"/>
    <mergeCell ref="AB5:AB6"/>
    <mergeCell ref="N5:N6"/>
    <mergeCell ref="A5:A6"/>
    <mergeCell ref="B5:B6"/>
    <mergeCell ref="C5:C6"/>
    <mergeCell ref="Y5:Y6"/>
    <mergeCell ref="D5:D6"/>
    <mergeCell ref="E5:E6"/>
    <mergeCell ref="F5:F6"/>
    <mergeCell ref="G5:G6"/>
    <mergeCell ref="H5:H6"/>
    <mergeCell ref="I5:I6"/>
    <mergeCell ref="J5:J6"/>
    <mergeCell ref="K5:K6"/>
    <mergeCell ref="L5:L6"/>
    <mergeCell ref="M5:M6"/>
  </mergeCells>
  <conditionalFormatting sqref="A7:AQ391">
    <cfRule type="expression" dxfId="5" priority="47">
      <formula>ROW()=RowEXP</formula>
    </cfRule>
  </conditionalFormatting>
  <dataValidations count="24">
    <dataValidation type="textLength" errorStyle="warning" operator="equal" allowBlank="1" showInputMessage="1" showErrorMessage="1" errorTitle="Validación de datos" error="Debe ingresar los 3 caracteres correspondientes en cada celda ó dejarla vacia de ser el caso." sqref="U5 Z5:AA5 Z7:AA1048576" xr:uid="{00000000-0002-0000-0400-000000000000}">
      <formula1>3</formula1>
    </dataValidation>
    <dataValidation type="textLength" errorStyle="warning" operator="equal" allowBlank="1" showInputMessage="1" showErrorMessage="1" errorTitle="Validación de datos" error="Debe ingresar los 10 caracteres correspondientes en cada celda ó dejarla vacia de ser el caso." sqref="AC5" xr:uid="{00000000-0002-0000-0400-000001000000}">
      <formula1>10</formula1>
    </dataValidation>
    <dataValidation type="textLength" errorStyle="warning" operator="equal" allowBlank="1" showInputMessage="1" showErrorMessage="1" errorTitle="Validación de datos" error="Debe ingresar los 6 caracteres correspondientes en cada celda ó dejarla vacia de ser el caso." sqref="W5" xr:uid="{00000000-0002-0000-0400-000002000000}">
      <formula1>6</formula1>
    </dataValidation>
    <dataValidation errorStyle="warning" operator="equal" allowBlank="1" showInputMessage="1" showErrorMessage="1" errorTitle="Validación de datos" error="Debe ingresar los 10 caracteres correspondientes en cada celda ó dejarla vacia de ser el caso." sqref="S5" xr:uid="{00000000-0002-0000-0400-000003000000}"/>
    <dataValidation type="textLength" errorStyle="warning" allowBlank="1" showInputMessage="1" showErrorMessage="1" errorTitle="Validación de datos" error="Debe ingresar los 6 caracteres correspondientes en cada celda ó dejarla vacia de ser el caso." sqref="T5 V5 V7:V1048576" xr:uid="{00000000-0002-0000-0400-000004000000}">
      <formula1>6</formula1>
      <formula2>8</formula2>
    </dataValidation>
    <dataValidation type="list" allowBlank="1" showInputMessage="1" showErrorMessage="1" sqref="F7:F1048576" xr:uid="{00000000-0002-0000-0400-000009000000}">
      <formula1>"01-REGIMEN GENERAL,02-PARAISO FISCAL,03-REGIMEN FISCAL PREFERENTE"</formula1>
    </dataValidation>
    <dataValidation type="list" allowBlank="1" showInputMessage="1" showErrorMessage="1" sqref="D7:D1048576" xr:uid="{00000000-0002-0000-0400-00000A000000}">
      <formula1>"01-Persona Natural,02-Sociedad"</formula1>
    </dataValidation>
    <dataValidation type="list" allowBlank="1" showInputMessage="1" showErrorMessage="1" sqref="B7:B1048576" xr:uid="{00000000-0002-0000-0400-00000B000000}">
      <formula1>"R-Ruc,P-Pasaporte,E-ID Exterior"</formula1>
    </dataValidation>
    <dataValidation type="list" allowBlank="1" showInputMessage="1" showErrorMessage="1" sqref="L7:L1048576" xr:uid="{00000000-0002-0000-0400-00000C000000}">
      <formula1>tiposexp</formula1>
    </dataValidation>
    <dataValidation type="list" allowBlank="1" showInputMessage="1" showErrorMessage="1" sqref="N7:N1048576 K7:K1048576 E7:E1048576" xr:uid="{00000000-0002-0000-0400-00000D000000}">
      <formula1>"SI,NO"</formula1>
    </dataValidation>
    <dataValidation type="textLength" errorStyle="warning" operator="equal" allowBlank="1" showInputMessage="1" showErrorMessage="1" errorTitle="Validación de datos" error="Debe ingresar los 4 caracteres correspondientes en cada celda ó dejarla vacia de ser el caso." sqref="U7:U1048576" xr:uid="{00000000-0002-0000-0400-00000E000000}">
      <formula1>4</formula1>
    </dataValidation>
    <dataValidation type="list" allowBlank="1" showInputMessage="1" showErrorMessage="1" sqref="P7:P1048576" xr:uid="{00000000-0002-0000-0400-00000F000000}">
      <formula1>Distritos</formula1>
    </dataValidation>
    <dataValidation type="list" allowBlank="1" showInputMessage="1" showErrorMessage="1" sqref="Q7:Q1048576" xr:uid="{00000000-0002-0000-0400-000010000000}">
      <formula1>Regimenes</formula1>
    </dataValidation>
    <dataValidation type="textLength" errorStyle="warning" operator="equal" allowBlank="1" showInputMessage="1" showErrorMessage="1" errorTitle="Validación de datos" error="Debe ingresar los 1 caracteres correspondientes en cada celda ó dejarla vacia de ser el caso." sqref="W7:W1048576" xr:uid="{00000000-0002-0000-0400-000011000000}">
      <formula1>1</formula1>
    </dataValidation>
    <dataValidation type="textLength" errorStyle="warning" allowBlank="1" showInputMessage="1" showErrorMessage="1" errorTitle="Validación de datos" error="Debe ingresar los 3 y 13 caracteres correspondientes en cada celda ó dejarla vacia de ser el caso." sqref="S7:S1048576" xr:uid="{00000000-0002-0000-0400-000012000000}">
      <formula1>3</formula1>
      <formula2>13</formula2>
    </dataValidation>
    <dataValidation type="textLength" errorStyle="warning" operator="equal" allowBlank="1" showInputMessage="1" showErrorMessage="1" errorTitle="Validación de datos" error="Debe ingresar los 13 caracteres correspondientes en cada celda ó dejarla vacia de ser el caso." sqref="T7:T1048576" xr:uid="{00000000-0002-0000-0400-000013000000}">
      <formula1>13</formula1>
    </dataValidation>
    <dataValidation type="list" allowBlank="1" showInputMessage="1" showErrorMessage="1" sqref="Y7:Y1048576" xr:uid="{00000000-0002-0000-0400-000014000000}">
      <formula1>ComprobantesEXP</formula1>
    </dataValidation>
    <dataValidation type="textLength" errorStyle="warning" allowBlank="1" showInputMessage="1" showErrorMessage="1" errorTitle="Validación de datos" error="Debe ingresar los 10 o 37 o 49 caracteres correspondientes en cada celda ó dejarla vacia de ser el caso." sqref="AC7:AC1048576" xr:uid="{00000000-0002-0000-0400-000015000000}">
      <formula1>10</formula1>
      <formula2>49</formula2>
    </dataValidation>
    <dataValidation type="list" allowBlank="1" showInputMessage="1" showErrorMessage="1" sqref="X7:X1048576" xr:uid="{00000000-0002-0000-0400-000016000000}">
      <formula1>"F-Fisico,E-Electronico"</formula1>
    </dataValidation>
    <dataValidation type="list" allowBlank="1" showInputMessage="1" showErrorMessage="1" sqref="AQ7:AQ1048576" xr:uid="{36A071A1-4D53-4C60-8D03-D90A5A02237F}">
      <formula1>ListaActividades</formula1>
    </dataValidation>
    <dataValidation type="list" allowBlank="1" showInputMessage="1" showErrorMessage="1" sqref="G7:G1048576" xr:uid="{FA2BAF0B-001E-4D3C-808E-6AD430AB698F}">
      <formula1>IF($F7="01-REGIMEN GENERAL",paises,"")</formula1>
    </dataValidation>
    <dataValidation type="list" allowBlank="1" showInputMessage="1" showErrorMessage="1" sqref="J7:J1048576" xr:uid="{B22BE53C-FE1D-43FF-A7A5-71739EF30FCC}">
      <formula1>IF($F7="02-PARAISO FISCAL",paises17b,IF($F7="01-REGIMEN GENERAL",$G7,paises))</formula1>
    </dataValidation>
    <dataValidation type="list" allowBlank="1" showInputMessage="1" showErrorMessage="1" sqref="H7:H1048576" xr:uid="{66EB1CD9-EBBE-4D36-B42B-B61A016A7A33}">
      <formula1>IF($F7="02-PARAISO FISCAL",paises17a,"")</formula1>
    </dataValidation>
    <dataValidation type="list" allowBlank="1" showInputMessage="1" showErrorMessage="1" sqref="M7:M1048576" xr:uid="{E38CC3DB-DD01-438F-93B4-5F523CD0B201}">
      <formula1>IF($L7="03-Exportaciones de servicios",ingExterior,"")</formula1>
    </dataValidation>
  </dataValidations>
  <pageMargins left="0.7" right="0.7" top="0.75" bottom="0.75" header="0.3" footer="0.3"/>
  <pageSetup paperSize="9" orientation="portrait" r:id="rId1"/>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Hoja8"/>
  <dimension ref="A1:K8"/>
  <sheetViews>
    <sheetView showGridLines="0" zoomScaleNormal="100" workbookViewId="0">
      <pane ySplit="6" topLeftCell="A7" activePane="bottomLeft" state="frozen"/>
      <selection activeCell="D7" sqref="D7"/>
      <selection pane="bottomLeft" activeCell="A7" sqref="A7"/>
    </sheetView>
  </sheetViews>
  <sheetFormatPr baseColWidth="10" defaultColWidth="10.81640625" defaultRowHeight="11.5" x14ac:dyDescent="0.25"/>
  <cols>
    <col min="1" max="1" width="23.453125" style="333" customWidth="1"/>
    <col min="2" max="3" width="9.453125" style="368" customWidth="1"/>
    <col min="4" max="5" width="12" style="350" customWidth="1"/>
    <col min="6" max="6" width="26.54296875" style="350" customWidth="1"/>
    <col min="7" max="7" width="12.54296875" style="333" customWidth="1"/>
    <col min="8" max="8" width="13.54296875" style="352" customWidth="1"/>
    <col min="9" max="9" width="8.7265625" style="351" customWidth="1"/>
    <col min="10" max="10" width="32.1796875" style="350" customWidth="1"/>
    <col min="11" max="11" width="23.453125" style="333" customWidth="1"/>
    <col min="12" max="16384" width="10.81640625" style="333"/>
  </cols>
  <sheetData>
    <row r="1" spans="1:11" ht="20.149999999999999" customHeight="1" x14ac:dyDescent="0.25">
      <c r="A1" s="372" t="str">
        <f>Parametros!D4&amp;" - "&amp;Parametros!D5</f>
        <v>1306304542001 - VELIZ NAPA JAVIER</v>
      </c>
      <c r="B1" s="323"/>
      <c r="C1" s="323"/>
      <c r="D1" s="322"/>
      <c r="E1" s="322"/>
      <c r="F1" s="322"/>
      <c r="G1" s="322"/>
      <c r="H1" s="324"/>
      <c r="I1" s="323"/>
      <c r="J1" s="322"/>
    </row>
    <row r="2" spans="1:11" ht="19.5" customHeight="1" x14ac:dyDescent="0.25">
      <c r="A2" s="373" t="s">
        <v>1242</v>
      </c>
      <c r="B2" s="381"/>
      <c r="C2" s="381"/>
      <c r="D2" s="322"/>
      <c r="E2" s="322"/>
      <c r="F2" s="322"/>
      <c r="G2" s="322"/>
      <c r="H2" s="324"/>
      <c r="I2" s="323"/>
      <c r="J2" s="322"/>
    </row>
    <row r="3" spans="1:11" s="344" customFormat="1" ht="16" hidden="1" customHeight="1" x14ac:dyDescent="0.25">
      <c r="A3" s="341"/>
      <c r="B3" s="336"/>
      <c r="C3" s="338"/>
      <c r="D3" s="338"/>
      <c r="E3" s="338"/>
      <c r="F3" s="338"/>
      <c r="H3" s="362"/>
      <c r="I3" s="363"/>
      <c r="J3" s="338"/>
    </row>
    <row r="4" spans="1:11" ht="14.5" customHeight="1" x14ac:dyDescent="0.25">
      <c r="A4" s="364"/>
      <c r="B4" s="323"/>
      <c r="C4" s="323"/>
      <c r="D4" s="322"/>
      <c r="E4" s="322"/>
      <c r="F4" s="322"/>
      <c r="G4" s="322"/>
      <c r="H4" s="324"/>
      <c r="I4" s="323"/>
      <c r="J4" s="322"/>
    </row>
    <row r="5" spans="1:11" s="655" customFormat="1" ht="16" customHeight="1" x14ac:dyDescent="0.25">
      <c r="A5" s="800"/>
      <c r="B5" s="801" t="str">
        <f>"# Registros ANULADOS : " &amp; COUNTIF(H:H,"&gt;0")</f>
        <v># Registros ANULADOS : 0</v>
      </c>
      <c r="C5" s="802"/>
      <c r="D5" s="800"/>
      <c r="E5" s="800"/>
      <c r="F5" s="800"/>
      <c r="G5" s="800"/>
      <c r="H5" s="803"/>
      <c r="I5" s="802"/>
      <c r="J5" s="802"/>
      <c r="K5" s="333"/>
    </row>
    <row r="6" spans="1:11" ht="47.15" customHeight="1" x14ac:dyDescent="0.25">
      <c r="A6" s="852" t="s">
        <v>1002</v>
      </c>
      <c r="B6" s="861" t="s">
        <v>1028</v>
      </c>
      <c r="C6" s="861" t="s">
        <v>1029</v>
      </c>
      <c r="D6" s="861" t="s">
        <v>1030</v>
      </c>
      <c r="E6" s="861" t="s">
        <v>1031</v>
      </c>
      <c r="F6" s="861" t="s">
        <v>689</v>
      </c>
      <c r="G6" s="852" t="s">
        <v>1001</v>
      </c>
      <c r="H6" s="860" t="s">
        <v>1188</v>
      </c>
      <c r="I6" s="878" t="s">
        <v>1266</v>
      </c>
      <c r="J6" s="879" t="s">
        <v>743</v>
      </c>
    </row>
    <row r="7" spans="1:11" x14ac:dyDescent="0.25">
      <c r="A7" s="881"/>
      <c r="B7" s="882" t="s">
        <v>8</v>
      </c>
      <c r="C7" s="882" t="s">
        <v>8</v>
      </c>
      <c r="D7" s="880"/>
      <c r="E7" s="880"/>
      <c r="F7" s="880"/>
      <c r="G7" s="881"/>
      <c r="H7" s="885"/>
      <c r="I7" s="887" t="str">
        <f>IF(ISNUMBER(H7),IF(ISERROR(HLOOKUP(MONTH(H7),meses_104,1,0)),"NO","SI"),"NO")</f>
        <v>NO</v>
      </c>
      <c r="J7" s="880"/>
    </row>
    <row r="8" spans="1:11" x14ac:dyDescent="0.25">
      <c r="A8" s="434"/>
      <c r="B8" s="864" t="s">
        <v>8</v>
      </c>
      <c r="C8" s="864" t="s">
        <v>8</v>
      </c>
      <c r="D8" s="863"/>
      <c r="E8" s="863"/>
      <c r="F8" s="863"/>
      <c r="G8" s="434"/>
      <c r="H8" s="865"/>
      <c r="I8" s="872" t="str">
        <f>IF(ISNUMBER(H8),IF(ISERROR(HLOOKUP(MONTH(H8),meses_104,1,0)),"NO","SI"),"NO")</f>
        <v>NO</v>
      </c>
      <c r="J8" s="863"/>
    </row>
  </sheetData>
  <autoFilter ref="A6:J6" xr:uid="{DC71C307-4520-44B2-8E3B-D5D7F14BA48A}"/>
  <conditionalFormatting sqref="A7:J23">
    <cfRule type="expression" dxfId="4" priority="24">
      <formula>ROW()=RowANU</formula>
    </cfRule>
  </conditionalFormatting>
  <dataValidations count="2">
    <dataValidation type="list" allowBlank="1" showInputMessage="1" showErrorMessage="1" sqref="G7:G1048576" xr:uid="{00000000-0002-0000-0500-000000000000}">
      <formula1>"F-Fisico,E-Electronico"</formula1>
    </dataValidation>
    <dataValidation type="list" allowBlank="1" showInputMessage="1" showErrorMessage="1" sqref="A7:A1048576" xr:uid="{00000000-0002-0000-0500-000001000000}">
      <formula1>ComprobantesCOM</formula1>
    </dataValidation>
  </dataValidations>
  <pageMargins left="0.7" right="0.7" top="0.75" bottom="0.75" header="0.3" footer="0.3"/>
  <pageSetup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8E6845-CF4E-48E4-93BA-EE656ADE32E3}">
  <dimension ref="A1:AC9"/>
  <sheetViews>
    <sheetView showGridLines="0" zoomScaleNormal="100" workbookViewId="0">
      <pane xSplit="2" ySplit="6" topLeftCell="C7" activePane="bottomRight" state="frozen"/>
      <selection activeCell="A5" sqref="A5:A6"/>
      <selection pane="topRight" activeCell="A5" sqref="A5:A6"/>
      <selection pane="bottomLeft" activeCell="A5" sqref="A5:A6"/>
      <selection pane="bottomRight" activeCell="C7" sqref="C7"/>
    </sheetView>
  </sheetViews>
  <sheetFormatPr baseColWidth="10" defaultColWidth="10.81640625" defaultRowHeight="11.5" outlineLevelCol="1" x14ac:dyDescent="0.25"/>
  <cols>
    <col min="1" max="1" width="15" style="350" customWidth="1"/>
    <col min="2" max="2" width="35.7265625" style="350" customWidth="1"/>
    <col min="3" max="3" width="16.54296875" style="333" customWidth="1" outlineLevel="1"/>
    <col min="4" max="4" width="19.26953125" style="350" customWidth="1"/>
    <col min="5" max="6" width="5.7265625" style="368" customWidth="1"/>
    <col min="7" max="7" width="9.81640625" style="350" customWidth="1"/>
    <col min="8" max="8" width="45.81640625" style="350" bestFit="1" customWidth="1"/>
    <col min="9" max="9" width="2.453125" style="333" customWidth="1"/>
    <col min="10" max="10" width="15" style="350" customWidth="1"/>
    <col min="11" max="11" width="35.7265625" style="350" customWidth="1"/>
    <col min="12" max="12" width="10.453125" style="350" customWidth="1"/>
    <col min="13" max="13" width="10.7265625" style="352" customWidth="1"/>
    <col min="14" max="14" width="11.1796875" style="352" customWidth="1"/>
    <col min="15" max="15" width="35.7265625" style="350" customWidth="1"/>
    <col min="16" max="16" width="2.453125" style="333" customWidth="1"/>
    <col min="17" max="17" width="15" style="350" customWidth="1"/>
    <col min="18" max="18" width="35.7265625" style="350" customWidth="1"/>
    <col min="19" max="19" width="21.26953125" style="350" customWidth="1"/>
    <col min="20" max="20" width="11.54296875" style="350" customWidth="1"/>
    <col min="21" max="21" width="17.453125" style="350" customWidth="1"/>
    <col min="22" max="22" width="10.81640625" style="352" customWidth="1"/>
    <col min="23" max="23" width="45.81640625" style="350" bestFit="1" customWidth="1"/>
    <col min="24" max="26" width="35.7265625" style="350" customWidth="1"/>
    <col min="27" max="27" width="27.7265625" style="350" customWidth="1"/>
    <col min="28" max="28" width="13.1796875" style="350" customWidth="1"/>
    <col min="29" max="29" width="2.453125" style="333" customWidth="1"/>
    <col min="30" max="16384" width="10.81640625" style="333"/>
  </cols>
  <sheetData>
    <row r="1" spans="1:29" ht="20.149999999999999" customHeight="1" x14ac:dyDescent="0.25">
      <c r="A1" s="372" t="str">
        <f>Parametros!D4&amp;" - "&amp;Parametros!D5</f>
        <v>1306304542001 - VELIZ NAPA JAVIER</v>
      </c>
      <c r="B1" s="322"/>
      <c r="C1" s="322"/>
      <c r="D1" s="322"/>
      <c r="E1" s="323"/>
      <c r="F1" s="323"/>
      <c r="G1" s="322"/>
      <c r="H1" s="322"/>
      <c r="I1" s="325"/>
      <c r="J1" s="372"/>
      <c r="K1" s="322"/>
      <c r="L1" s="322"/>
      <c r="M1" s="324"/>
      <c r="N1" s="324"/>
      <c r="O1" s="322"/>
      <c r="P1" s="325"/>
      <c r="Q1" s="372"/>
      <c r="R1" s="322"/>
      <c r="S1" s="322"/>
      <c r="T1" s="322"/>
      <c r="U1" s="322"/>
      <c r="V1" s="324"/>
      <c r="W1" s="322"/>
      <c r="X1" s="322"/>
      <c r="Y1" s="322"/>
      <c r="Z1" s="322"/>
      <c r="AA1" s="322"/>
      <c r="AB1" s="322"/>
      <c r="AC1" s="325"/>
    </row>
    <row r="2" spans="1:29" ht="19.5" customHeight="1" x14ac:dyDescent="0.25">
      <c r="A2" s="373" t="s">
        <v>2170</v>
      </c>
      <c r="B2" s="334"/>
      <c r="C2" s="322"/>
      <c r="D2" s="322"/>
      <c r="E2" s="323"/>
      <c r="F2" s="323"/>
      <c r="G2" s="322"/>
      <c r="H2" s="322"/>
      <c r="I2" s="325"/>
      <c r="J2" s="373"/>
      <c r="K2" s="334"/>
      <c r="L2" s="334"/>
      <c r="M2" s="324"/>
      <c r="N2" s="324"/>
      <c r="O2" s="334"/>
      <c r="P2" s="325"/>
      <c r="Q2" s="373"/>
      <c r="R2" s="334"/>
      <c r="S2" s="334"/>
      <c r="T2" s="322"/>
      <c r="U2" s="334"/>
      <c r="V2" s="324"/>
      <c r="W2" s="322"/>
      <c r="X2" s="334"/>
      <c r="Y2" s="334"/>
      <c r="Z2" s="334"/>
      <c r="AA2" s="322"/>
      <c r="AB2" s="322"/>
      <c r="AC2" s="325"/>
    </row>
    <row r="3" spans="1:29" s="344" customFormat="1" ht="16" hidden="1" customHeight="1" x14ac:dyDescent="0.25">
      <c r="A3" s="336"/>
      <c r="B3" s="338"/>
      <c r="C3" s="338"/>
      <c r="D3" s="338"/>
      <c r="E3" s="338"/>
      <c r="F3" s="338"/>
      <c r="G3" s="338"/>
      <c r="H3" s="338"/>
      <c r="I3" s="337"/>
      <c r="J3" s="336"/>
      <c r="K3" s="338"/>
      <c r="L3" s="338"/>
      <c r="M3" s="339"/>
      <c r="N3" s="339"/>
      <c r="O3" s="338"/>
      <c r="P3" s="337"/>
      <c r="Q3" s="336"/>
      <c r="R3" s="338"/>
      <c r="S3" s="338"/>
      <c r="T3" s="338"/>
      <c r="U3" s="338"/>
      <c r="V3" s="339"/>
      <c r="W3" s="338"/>
      <c r="X3" s="338"/>
      <c r="Y3" s="338"/>
      <c r="Z3" s="338"/>
      <c r="AA3" s="338"/>
      <c r="AB3" s="338"/>
      <c r="AC3" s="337"/>
    </row>
    <row r="4" spans="1:29" s="615" customFormat="1" ht="14.5" customHeight="1" x14ac:dyDescent="0.35">
      <c r="A4" s="370"/>
      <c r="B4" s="775" t="str">
        <f>"# Registros COMPRAS : " &amp; COUNTIF(M:M,"&gt;0")</f>
        <v># Registros COMPRAS : 3</v>
      </c>
      <c r="C4" s="616"/>
      <c r="D4" s="595" t="s">
        <v>2189</v>
      </c>
      <c r="E4" s="601"/>
      <c r="F4" s="601"/>
      <c r="G4" s="601"/>
      <c r="H4" s="777"/>
      <c r="I4" s="613"/>
      <c r="J4" s="595" t="s">
        <v>2190</v>
      </c>
      <c r="K4" s="595"/>
      <c r="L4" s="595"/>
      <c r="M4" s="619"/>
      <c r="N4" s="620"/>
      <c r="O4" s="595"/>
      <c r="P4" s="613"/>
      <c r="Q4" s="776" t="s">
        <v>2191</v>
      </c>
      <c r="R4" s="595"/>
      <c r="S4" s="776"/>
      <c r="T4" s="595" t="s">
        <v>2186</v>
      </c>
      <c r="U4" s="595"/>
      <c r="V4" s="619"/>
      <c r="W4" s="601"/>
      <c r="X4" s="778"/>
      <c r="Y4" s="595"/>
      <c r="Z4" s="776"/>
      <c r="AA4" s="598"/>
      <c r="AB4" s="598"/>
      <c r="AC4" s="613"/>
    </row>
    <row r="5" spans="1:29" s="351" customFormat="1" ht="16" customHeight="1" x14ac:dyDescent="0.25">
      <c r="A5" s="1310" t="s">
        <v>2188</v>
      </c>
      <c r="B5" s="1312" t="s">
        <v>2187</v>
      </c>
      <c r="C5" s="1308" t="s">
        <v>2168</v>
      </c>
      <c r="D5" s="1312" t="s">
        <v>685</v>
      </c>
      <c r="E5" s="1312" t="s">
        <v>686</v>
      </c>
      <c r="F5" s="1312" t="s">
        <v>687</v>
      </c>
      <c r="G5" s="1312" t="s">
        <v>688</v>
      </c>
      <c r="H5" s="1316" t="s">
        <v>689</v>
      </c>
      <c r="I5" s="811"/>
      <c r="J5" s="1310" t="s">
        <v>2171</v>
      </c>
      <c r="K5" s="1312" t="s">
        <v>2172</v>
      </c>
      <c r="L5" s="1312" t="s">
        <v>2173</v>
      </c>
      <c r="M5" s="1306" t="s">
        <v>2175</v>
      </c>
      <c r="N5" s="1306" t="s">
        <v>2174</v>
      </c>
      <c r="O5" s="1316" t="s">
        <v>2176</v>
      </c>
      <c r="P5" s="811"/>
      <c r="Q5" s="1310" t="s">
        <v>2177</v>
      </c>
      <c r="R5" s="1312" t="s">
        <v>2178</v>
      </c>
      <c r="S5" s="1312" t="s">
        <v>2181</v>
      </c>
      <c r="T5" s="1312" t="s">
        <v>2183</v>
      </c>
      <c r="U5" s="1312" t="s">
        <v>2184</v>
      </c>
      <c r="V5" s="1306" t="s">
        <v>2192</v>
      </c>
      <c r="W5" s="1312" t="s">
        <v>2185</v>
      </c>
      <c r="X5" s="1312" t="s">
        <v>2179</v>
      </c>
      <c r="Y5" s="1312" t="s">
        <v>2182</v>
      </c>
      <c r="Z5" s="1312" t="s">
        <v>2180</v>
      </c>
      <c r="AA5" s="1385" t="s">
        <v>743</v>
      </c>
      <c r="AB5" s="1383" t="s">
        <v>2196</v>
      </c>
      <c r="AC5" s="534"/>
    </row>
    <row r="6" spans="1:29" s="536" customFormat="1" ht="47.15" customHeight="1" x14ac:dyDescent="0.35">
      <c r="A6" s="1311"/>
      <c r="B6" s="1313"/>
      <c r="C6" s="1309"/>
      <c r="D6" s="1313"/>
      <c r="E6" s="1313"/>
      <c r="F6" s="1313"/>
      <c r="G6" s="1313"/>
      <c r="H6" s="1317"/>
      <c r="I6" s="915"/>
      <c r="J6" s="1311"/>
      <c r="K6" s="1313"/>
      <c r="L6" s="1313"/>
      <c r="M6" s="1307"/>
      <c r="N6" s="1307"/>
      <c r="O6" s="1317"/>
      <c r="P6" s="915"/>
      <c r="Q6" s="1311"/>
      <c r="R6" s="1313"/>
      <c r="S6" s="1313"/>
      <c r="T6" s="1313"/>
      <c r="U6" s="1313"/>
      <c r="V6" s="1307"/>
      <c r="W6" s="1313"/>
      <c r="X6" s="1313"/>
      <c r="Y6" s="1313"/>
      <c r="Z6" s="1313"/>
      <c r="AA6" s="1386"/>
      <c r="AB6" s="1384"/>
      <c r="AC6" s="535"/>
    </row>
    <row r="7" spans="1:29" x14ac:dyDescent="0.25">
      <c r="A7" s="880"/>
      <c r="B7" s="880"/>
      <c r="C7" s="881"/>
      <c r="D7" s="880" t="s">
        <v>26</v>
      </c>
      <c r="E7" s="882" t="s">
        <v>8</v>
      </c>
      <c r="F7" s="882" t="s">
        <v>8</v>
      </c>
      <c r="G7" s="880"/>
      <c r="H7" s="880"/>
      <c r="I7" s="881"/>
      <c r="J7" s="880"/>
      <c r="K7" s="880"/>
      <c r="L7" s="880"/>
      <c r="M7" s="865">
        <v>46023</v>
      </c>
      <c r="N7" s="865">
        <v>46023</v>
      </c>
      <c r="O7" s="880"/>
      <c r="P7" s="881"/>
      <c r="Q7" s="880"/>
      <c r="R7" s="880"/>
      <c r="S7" s="880"/>
      <c r="T7" s="880" t="s">
        <v>1032</v>
      </c>
      <c r="U7" s="880"/>
      <c r="V7" s="885">
        <v>45462</v>
      </c>
      <c r="W7" s="880"/>
      <c r="X7" s="880"/>
      <c r="Y7" s="880"/>
      <c r="Z7" s="880"/>
      <c r="AA7" s="880"/>
      <c r="AB7" s="880"/>
    </row>
    <row r="8" spans="1:29" x14ac:dyDescent="0.25">
      <c r="A8" s="880"/>
      <c r="B8" s="880"/>
      <c r="C8" s="881"/>
      <c r="D8" s="880" t="s">
        <v>26</v>
      </c>
      <c r="E8" s="882" t="s">
        <v>8</v>
      </c>
      <c r="F8" s="882" t="s">
        <v>8</v>
      </c>
      <c r="G8" s="880"/>
      <c r="H8" s="880"/>
      <c r="I8" s="881"/>
      <c r="J8" s="880"/>
      <c r="K8" s="880"/>
      <c r="L8" s="880"/>
      <c r="M8" s="865">
        <v>46023</v>
      </c>
      <c r="N8" s="865">
        <v>46023</v>
      </c>
      <c r="O8" s="880"/>
      <c r="P8" s="881"/>
      <c r="Q8" s="880"/>
      <c r="R8" s="880"/>
      <c r="S8" s="880"/>
      <c r="T8" s="880" t="s">
        <v>1032</v>
      </c>
      <c r="U8" s="880"/>
      <c r="V8" s="885">
        <v>45462</v>
      </c>
      <c r="W8" s="880"/>
      <c r="X8" s="880"/>
      <c r="Y8" s="880"/>
      <c r="Z8" s="880"/>
      <c r="AA8" s="880"/>
      <c r="AB8" s="880"/>
    </row>
    <row r="9" spans="1:29" x14ac:dyDescent="0.25">
      <c r="A9" s="863"/>
      <c r="B9" s="863"/>
      <c r="C9" s="434"/>
      <c r="D9" s="863" t="s">
        <v>26</v>
      </c>
      <c r="E9" s="864" t="s">
        <v>8</v>
      </c>
      <c r="F9" s="864" t="s">
        <v>8</v>
      </c>
      <c r="G9" s="863"/>
      <c r="H9" s="863"/>
      <c r="I9" s="434"/>
      <c r="J9" s="863"/>
      <c r="K9" s="863"/>
      <c r="L9" s="863"/>
      <c r="M9" s="865">
        <v>46023</v>
      </c>
      <c r="N9" s="865">
        <v>46023</v>
      </c>
      <c r="O9" s="863"/>
      <c r="P9" s="434"/>
      <c r="Q9" s="863"/>
      <c r="R9" s="863"/>
      <c r="S9" s="863"/>
      <c r="T9" s="863" t="s">
        <v>1032</v>
      </c>
      <c r="U9" s="863"/>
      <c r="V9" s="865">
        <v>45462</v>
      </c>
      <c r="W9" s="863"/>
      <c r="X9" s="863"/>
      <c r="Y9" s="863"/>
      <c r="Z9" s="863"/>
      <c r="AA9" s="863"/>
      <c r="AB9" s="863"/>
    </row>
  </sheetData>
  <autoFilter ref="A6:AC6" xr:uid="{8AA16ABB-469A-45DD-A272-F745DF90E6AC}"/>
  <mergeCells count="26">
    <mergeCell ref="AA5:AA6"/>
    <mergeCell ref="Y5:Y6"/>
    <mergeCell ref="M5:M6"/>
    <mergeCell ref="N5:N6"/>
    <mergeCell ref="L5:L6"/>
    <mergeCell ref="O5:O6"/>
    <mergeCell ref="V5:V6"/>
    <mergeCell ref="W5:W6"/>
    <mergeCell ref="Q5:Q6"/>
    <mergeCell ref="R5:R6"/>
    <mergeCell ref="A5:A6"/>
    <mergeCell ref="B5:B6"/>
    <mergeCell ref="C5:C6"/>
    <mergeCell ref="AB5:AB6"/>
    <mergeCell ref="D5:D6"/>
    <mergeCell ref="E5:E6"/>
    <mergeCell ref="F5:F6"/>
    <mergeCell ref="G5:G6"/>
    <mergeCell ref="H5:H6"/>
    <mergeCell ref="Z5:Z6"/>
    <mergeCell ref="S5:S6"/>
    <mergeCell ref="J5:J6"/>
    <mergeCell ref="K5:K6"/>
    <mergeCell ref="X5:X6"/>
    <mergeCell ref="T5:T6"/>
    <mergeCell ref="U5:U6"/>
  </mergeCells>
  <dataValidations count="5">
    <dataValidation type="textLength" errorStyle="warning" allowBlank="1" showInputMessage="1" showErrorMessage="1" errorTitle="Validación de datos" error="Debe ingresar los 10 o 37 o 49 caracteres correspondientes en cada celda ó dejarla vacia de ser el caso." sqref="H1 W1:Z1 W7:Z1048576 H7:H1048576" xr:uid="{02B5B895-C819-4122-8D9E-2A63359FF2EC}">
      <formula1>10</formula1>
      <formula2>49</formula2>
    </dataValidation>
    <dataValidation type="textLength" errorStyle="warning" operator="equal" allowBlank="1" showInputMessage="1" showErrorMessage="1" errorTitle="Validación de datos" error="Debe ingresar los 3 caracteres correspondientes en cada celda ó dejarla vacia de ser el caso." sqref="E5:F5 E7:F1048576" xr:uid="{C5DFF715-ADD1-426C-832B-25C3F7B32E24}">
      <formula1>3</formula1>
    </dataValidation>
    <dataValidation type="textLength" errorStyle="warning" operator="equal" allowBlank="1" showInputMessage="1" showErrorMessage="1" errorTitle="Validación de datos" error="Debe ingresar los 10 caracteres correspondientes en cada celda ó dejarla vacia de ser el caso." sqref="H5 W5:Z5" xr:uid="{F40E75EB-14C7-4262-89D1-7FA25797A188}">
      <formula1>10</formula1>
    </dataValidation>
    <dataValidation type="list" allowBlank="1" showInputMessage="1" showErrorMessage="1" sqref="T7:T1048576 D7:D1048576" xr:uid="{DDDBC489-9936-41E5-AC29-C2F33AD8E788}">
      <formula1>ComprobantesCOM</formula1>
    </dataValidation>
    <dataValidation type="list" allowBlank="1" showInputMessage="1" showErrorMessage="1" sqref="C7:C1048576" xr:uid="{B51A2903-0F8C-4A15-87E4-15BF3114640A}">
      <formula1>"E-EMITIDO,R-RECIBIDO"</formula1>
    </dataValidation>
  </dataValidations>
  <pageMargins left="0.7" right="0.7" top="0.75" bottom="0.75" header="0.3" footer="0.3"/>
  <pageSetup paperSize="9" orientation="portrait" r:id="rId1"/>
  <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DC08A0-8A97-4086-9193-5E8E2591E338}">
  <sheetPr codeName="Hoja20">
    <pageSetUpPr fitToPage="1"/>
  </sheetPr>
  <dimension ref="A1:K313"/>
  <sheetViews>
    <sheetView showGridLines="0" showRowColHeaders="0" topLeftCell="C1" zoomScale="80" zoomScaleNormal="80" workbookViewId="0">
      <selection activeCell="C1" sqref="C1"/>
    </sheetView>
  </sheetViews>
  <sheetFormatPr baseColWidth="10" defaultColWidth="10.81640625" defaultRowHeight="14.5" x14ac:dyDescent="0.35"/>
  <cols>
    <col min="1" max="1" width="10.453125" style="1" hidden="1" customWidth="1"/>
    <col min="2" max="2" width="12.1796875" style="2" hidden="1" customWidth="1"/>
    <col min="3" max="3" width="10.81640625" style="384"/>
    <col min="4" max="4" width="5.54296875" style="385" hidden="1" customWidth="1"/>
    <col min="5" max="5" width="54.81640625" style="1" customWidth="1"/>
    <col min="6" max="6" width="10.26953125" style="1" customWidth="1"/>
    <col min="7" max="9" width="11.453125" style="1" customWidth="1"/>
    <col min="10" max="10" width="12.26953125" style="1" customWidth="1"/>
    <col min="11" max="11" width="11.453125" style="1" customWidth="1"/>
    <col min="12" max="16384" width="10.81640625" style="1"/>
  </cols>
  <sheetData>
    <row r="1" spans="1:11" x14ac:dyDescent="0.35">
      <c r="C1" s="393" t="s">
        <v>1409</v>
      </c>
      <c r="D1" s="394"/>
      <c r="E1" s="395"/>
      <c r="F1" s="395"/>
      <c r="G1" s="395"/>
      <c r="H1" s="395"/>
      <c r="I1" s="395"/>
      <c r="J1" s="395"/>
      <c r="K1" s="395"/>
    </row>
    <row r="2" spans="1:11" x14ac:dyDescent="0.35">
      <c r="C2" s="393" t="s">
        <v>1410</v>
      </c>
      <c r="D2" s="394"/>
      <c r="E2" s="395"/>
      <c r="F2" s="395"/>
      <c r="G2" s="395"/>
      <c r="H2" s="395"/>
      <c r="I2" s="395"/>
      <c r="J2" s="395"/>
      <c r="K2" s="395"/>
    </row>
    <row r="3" spans="1:11" x14ac:dyDescent="0.35">
      <c r="C3" s="393" t="s">
        <v>1411</v>
      </c>
      <c r="D3" s="394"/>
      <c r="E3" s="395"/>
      <c r="F3" s="395"/>
      <c r="G3" s="395"/>
      <c r="H3" s="395"/>
      <c r="I3" s="395"/>
      <c r="J3" s="395"/>
      <c r="K3" s="395"/>
    </row>
    <row r="4" spans="1:11" x14ac:dyDescent="0.35">
      <c r="C4" s="395" t="s">
        <v>1487</v>
      </c>
      <c r="D4" s="394"/>
      <c r="E4" s="395"/>
      <c r="F4" s="395"/>
      <c r="G4" s="395"/>
      <c r="H4" s="395"/>
      <c r="I4" s="395"/>
      <c r="J4" s="395"/>
      <c r="K4" s="395"/>
    </row>
    <row r="5" spans="1:11" x14ac:dyDescent="0.35">
      <c r="C5" s="395" t="s">
        <v>2313</v>
      </c>
      <c r="D5" s="394"/>
      <c r="E5" s="395"/>
      <c r="F5" s="395"/>
      <c r="G5" s="395"/>
      <c r="H5" s="395"/>
      <c r="I5" s="395"/>
      <c r="J5" s="395"/>
      <c r="K5" s="395"/>
    </row>
    <row r="6" spans="1:11" x14ac:dyDescent="0.35">
      <c r="C6" s="395" t="s">
        <v>2299</v>
      </c>
      <c r="D6" s="395"/>
      <c r="E6" s="395"/>
      <c r="F6" s="395"/>
      <c r="G6" s="395"/>
      <c r="H6" s="395"/>
      <c r="I6" s="395"/>
      <c r="J6" s="395"/>
      <c r="K6" s="395"/>
    </row>
    <row r="7" spans="1:11" x14ac:dyDescent="0.35">
      <c r="C7" s="395" t="s">
        <v>2300</v>
      </c>
      <c r="D7" s="394"/>
      <c r="E7" s="395"/>
      <c r="F7" s="395"/>
      <c r="G7" s="395"/>
      <c r="H7" s="395"/>
      <c r="I7" s="395"/>
      <c r="J7" s="395"/>
      <c r="K7" s="395"/>
    </row>
    <row r="8" spans="1:11" x14ac:dyDescent="0.35">
      <c r="C8" s="395"/>
      <c r="D8" s="394"/>
      <c r="E8" s="395"/>
      <c r="F8" s="395"/>
      <c r="G8" s="395"/>
      <c r="H8" s="395"/>
      <c r="I8" s="395"/>
      <c r="J8" s="395"/>
      <c r="K8" s="395"/>
    </row>
    <row r="9" spans="1:11" x14ac:dyDescent="0.35">
      <c r="C9" s="395"/>
      <c r="D9" s="394"/>
      <c r="E9" s="395"/>
      <c r="F9" s="395"/>
      <c r="G9" s="395"/>
      <c r="H9" s="395"/>
      <c r="I9" s="395"/>
      <c r="J9" s="395"/>
      <c r="K9" s="395"/>
    </row>
    <row r="10" spans="1:11" x14ac:dyDescent="0.35">
      <c r="C10" s="384" t="s">
        <v>2298</v>
      </c>
      <c r="E10" s="382"/>
    </row>
    <row r="11" spans="1:11" x14ac:dyDescent="0.35">
      <c r="E11" s="382"/>
    </row>
    <row r="12" spans="1:11" x14ac:dyDescent="0.35">
      <c r="B12" s="2" t="str">
        <f>IF(SUM(F$14:K$42)&gt;0,"SI","NO")</f>
        <v>SI</v>
      </c>
      <c r="C12" s="386" t="s">
        <v>1285</v>
      </c>
      <c r="D12" s="387"/>
      <c r="E12" s="388"/>
      <c r="F12" s="388"/>
      <c r="G12" s="388"/>
      <c r="H12" s="388"/>
      <c r="I12" s="388"/>
      <c r="J12" s="388"/>
      <c r="K12" s="389"/>
    </row>
    <row r="13" spans="1:11" s="402" customFormat="1" ht="44.15" customHeight="1" x14ac:dyDescent="0.35">
      <c r="B13" s="2" t="str">
        <f>IF(SUM(F$14:K$42)&gt;0,"SI","NO")</f>
        <v>SI</v>
      </c>
      <c r="C13" s="400" t="s">
        <v>1300</v>
      </c>
      <c r="D13" s="400"/>
      <c r="E13" s="401" t="s">
        <v>1286</v>
      </c>
      <c r="F13" s="401" t="s">
        <v>1301</v>
      </c>
      <c r="G13" s="401" t="s">
        <v>1413</v>
      </c>
      <c r="H13" s="401" t="s">
        <v>1414</v>
      </c>
      <c r="I13" s="401" t="s">
        <v>1415</v>
      </c>
      <c r="J13" s="401" t="s">
        <v>1419</v>
      </c>
      <c r="K13" s="401" t="s">
        <v>1302</v>
      </c>
    </row>
    <row r="14" spans="1:11" x14ac:dyDescent="0.35">
      <c r="A14" s="1" t="s">
        <v>1285</v>
      </c>
      <c r="B14" s="2" t="str">
        <f>IF(SUM(F14:K14)&gt;0,"SI","NO")</f>
        <v>SI</v>
      </c>
      <c r="C14" s="390" t="s">
        <v>608</v>
      </c>
      <c r="D14" s="417" t="s">
        <v>770</v>
      </c>
      <c r="E14" s="391" t="s">
        <v>1290</v>
      </c>
      <c r="F14" s="422">
        <v>48</v>
      </c>
      <c r="G14" s="420">
        <v>0</v>
      </c>
      <c r="H14" s="420">
        <v>0</v>
      </c>
      <c r="I14" s="420">
        <v>0</v>
      </c>
      <c r="J14" s="420">
        <v>0</v>
      </c>
      <c r="K14" s="420">
        <v>0</v>
      </c>
    </row>
    <row r="15" spans="1:11" x14ac:dyDescent="0.35">
      <c r="A15" s="1" t="s">
        <v>1285</v>
      </c>
      <c r="B15" s="2" t="str">
        <f t="shared" ref="B15:B42" si="0">IF(SUM(F15:K15)&gt;0,"SI","NO")</f>
        <v>NO</v>
      </c>
      <c r="C15" s="390" t="s">
        <v>609</v>
      </c>
      <c r="D15" s="417" t="s">
        <v>770</v>
      </c>
      <c r="E15" s="391" t="s">
        <v>1303</v>
      </c>
      <c r="F15" s="422"/>
      <c r="G15" s="420"/>
      <c r="H15" s="420"/>
      <c r="I15" s="420"/>
      <c r="J15" s="420"/>
      <c r="K15" s="420"/>
    </row>
    <row r="16" spans="1:11" x14ac:dyDescent="0.35">
      <c r="A16" s="1" t="s">
        <v>1285</v>
      </c>
      <c r="B16" s="2" t="str">
        <f t="shared" si="0"/>
        <v>SI</v>
      </c>
      <c r="C16" s="390" t="s">
        <v>610</v>
      </c>
      <c r="D16" s="417" t="s">
        <v>770</v>
      </c>
      <c r="E16" s="391" t="s">
        <v>1304</v>
      </c>
      <c r="F16" s="422">
        <v>6</v>
      </c>
      <c r="G16" s="420">
        <v>0</v>
      </c>
      <c r="H16" s="420">
        <v>0</v>
      </c>
      <c r="I16" s="420">
        <v>0</v>
      </c>
      <c r="J16" s="420">
        <v>0</v>
      </c>
      <c r="K16" s="420">
        <v>0</v>
      </c>
    </row>
    <row r="17" spans="1:11" x14ac:dyDescent="0.35">
      <c r="A17" s="1" t="s">
        <v>1285</v>
      </c>
      <c r="B17" s="2" t="str">
        <f t="shared" si="0"/>
        <v>NO</v>
      </c>
      <c r="C17" s="390" t="s">
        <v>611</v>
      </c>
      <c r="D17" s="417" t="s">
        <v>1408</v>
      </c>
      <c r="E17" s="391" t="s">
        <v>1305</v>
      </c>
      <c r="F17" s="422"/>
      <c r="G17" s="420"/>
      <c r="H17" s="420"/>
      <c r="I17" s="420"/>
      <c r="J17" s="420"/>
      <c r="K17" s="420"/>
    </row>
    <row r="18" spans="1:11" x14ac:dyDescent="0.35">
      <c r="A18" s="1" t="s">
        <v>1285</v>
      </c>
      <c r="B18" s="2" t="str">
        <f t="shared" si="0"/>
        <v>NO</v>
      </c>
      <c r="C18" s="390" t="s">
        <v>612</v>
      </c>
      <c r="D18" s="417" t="s">
        <v>770</v>
      </c>
      <c r="E18" s="391" t="s">
        <v>1306</v>
      </c>
      <c r="F18" s="422"/>
      <c r="G18" s="420"/>
      <c r="H18" s="420"/>
      <c r="I18" s="420"/>
      <c r="J18" s="420"/>
      <c r="K18" s="420"/>
    </row>
    <row r="19" spans="1:11" x14ac:dyDescent="0.35">
      <c r="A19" s="1" t="s">
        <v>1285</v>
      </c>
      <c r="B19" s="2" t="str">
        <f t="shared" si="0"/>
        <v>NO</v>
      </c>
      <c r="C19" s="390" t="s">
        <v>616</v>
      </c>
      <c r="D19" s="417" t="s">
        <v>770</v>
      </c>
      <c r="E19" s="391" t="s">
        <v>1307</v>
      </c>
      <c r="F19" s="422"/>
      <c r="G19" s="420"/>
      <c r="H19" s="420"/>
      <c r="I19" s="420"/>
      <c r="J19" s="420"/>
      <c r="K19" s="420"/>
    </row>
    <row r="20" spans="1:11" x14ac:dyDescent="0.35">
      <c r="A20" s="1" t="s">
        <v>1285</v>
      </c>
      <c r="B20" s="2" t="str">
        <f t="shared" si="0"/>
        <v>NO</v>
      </c>
      <c r="C20" s="390" t="s">
        <v>617</v>
      </c>
      <c r="D20" s="417" t="s">
        <v>770</v>
      </c>
      <c r="E20" s="391" t="s">
        <v>1308</v>
      </c>
      <c r="F20" s="422"/>
      <c r="G20" s="420"/>
      <c r="H20" s="420"/>
      <c r="I20" s="420"/>
      <c r="J20" s="420"/>
      <c r="K20" s="420"/>
    </row>
    <row r="21" spans="1:11" x14ac:dyDescent="0.35">
      <c r="A21" s="1" t="s">
        <v>1285</v>
      </c>
      <c r="B21" s="2" t="str">
        <f t="shared" si="0"/>
        <v>NO</v>
      </c>
      <c r="C21" s="390" t="s">
        <v>618</v>
      </c>
      <c r="D21" s="417" t="s">
        <v>770</v>
      </c>
      <c r="E21" s="391" t="s">
        <v>1309</v>
      </c>
      <c r="F21" s="422"/>
      <c r="G21" s="420"/>
      <c r="H21" s="420"/>
      <c r="I21" s="420"/>
      <c r="J21" s="420"/>
      <c r="K21" s="420"/>
    </row>
    <row r="22" spans="1:11" x14ac:dyDescent="0.35">
      <c r="A22" s="1" t="s">
        <v>1285</v>
      </c>
      <c r="B22" s="2" t="str">
        <f t="shared" si="0"/>
        <v>NO</v>
      </c>
      <c r="C22" s="390" t="s">
        <v>619</v>
      </c>
      <c r="D22" s="417" t="s">
        <v>770</v>
      </c>
      <c r="E22" s="391" t="s">
        <v>1310</v>
      </c>
      <c r="F22" s="422"/>
      <c r="G22" s="420"/>
      <c r="H22" s="420"/>
      <c r="I22" s="420"/>
      <c r="J22" s="420"/>
      <c r="K22" s="420"/>
    </row>
    <row r="23" spans="1:11" x14ac:dyDescent="0.35">
      <c r="A23" s="1" t="s">
        <v>1285</v>
      </c>
      <c r="B23" s="2" t="str">
        <f t="shared" si="0"/>
        <v>NO</v>
      </c>
      <c r="C23" s="390" t="s">
        <v>1311</v>
      </c>
      <c r="D23" s="417" t="s">
        <v>770</v>
      </c>
      <c r="E23" s="391" t="s">
        <v>1312</v>
      </c>
      <c r="F23" s="422"/>
      <c r="G23" s="420"/>
      <c r="H23" s="420"/>
      <c r="I23" s="420"/>
      <c r="J23" s="420"/>
      <c r="K23" s="420"/>
    </row>
    <row r="24" spans="1:11" x14ac:dyDescent="0.35">
      <c r="A24" s="1" t="s">
        <v>1285</v>
      </c>
      <c r="B24" s="2" t="str">
        <f t="shared" si="0"/>
        <v>NO</v>
      </c>
      <c r="C24" s="390" t="s">
        <v>1313</v>
      </c>
      <c r="D24" s="417" t="s">
        <v>770</v>
      </c>
      <c r="E24" s="391" t="s">
        <v>1314</v>
      </c>
      <c r="F24" s="422"/>
      <c r="G24" s="420"/>
      <c r="H24" s="420"/>
      <c r="I24" s="420"/>
      <c r="J24" s="420"/>
      <c r="K24" s="420"/>
    </row>
    <row r="25" spans="1:11" x14ac:dyDescent="0.35">
      <c r="A25" s="1" t="s">
        <v>1285</v>
      </c>
      <c r="B25" s="2" t="str">
        <f t="shared" si="0"/>
        <v>NO</v>
      </c>
      <c r="C25" s="390" t="s">
        <v>620</v>
      </c>
      <c r="D25" s="417" t="s">
        <v>770</v>
      </c>
      <c r="E25" s="391" t="s">
        <v>1315</v>
      </c>
      <c r="F25" s="422"/>
      <c r="G25" s="420"/>
      <c r="H25" s="420"/>
      <c r="I25" s="420"/>
      <c r="J25" s="420"/>
      <c r="K25" s="420"/>
    </row>
    <row r="26" spans="1:11" ht="14.5" customHeight="1" x14ac:dyDescent="0.35">
      <c r="A26" s="1" t="s">
        <v>1285</v>
      </c>
      <c r="B26" s="2" t="str">
        <f t="shared" si="0"/>
        <v>NO</v>
      </c>
      <c r="C26" s="390" t="s">
        <v>613</v>
      </c>
      <c r="D26" s="417" t="s">
        <v>770</v>
      </c>
      <c r="E26" s="391" t="s">
        <v>1316</v>
      </c>
      <c r="F26" s="422"/>
      <c r="G26" s="420"/>
      <c r="H26" s="420"/>
      <c r="I26" s="420"/>
      <c r="J26" s="420"/>
      <c r="K26" s="420"/>
    </row>
    <row r="27" spans="1:11" ht="14.5" customHeight="1" x14ac:dyDescent="0.35">
      <c r="A27" s="1" t="s">
        <v>1285</v>
      </c>
      <c r="B27" s="2" t="str">
        <f t="shared" si="0"/>
        <v>NO</v>
      </c>
      <c r="C27" s="390" t="s">
        <v>614</v>
      </c>
      <c r="D27" s="417" t="s">
        <v>770</v>
      </c>
      <c r="E27" s="391" t="s">
        <v>1317</v>
      </c>
      <c r="F27" s="422"/>
      <c r="G27" s="420"/>
      <c r="H27" s="420"/>
      <c r="I27" s="420"/>
      <c r="J27" s="420"/>
      <c r="K27" s="420"/>
    </row>
    <row r="28" spans="1:11" ht="14.5" customHeight="1" x14ac:dyDescent="0.35">
      <c r="A28" s="1" t="s">
        <v>1285</v>
      </c>
      <c r="B28" s="2" t="str">
        <f t="shared" si="0"/>
        <v>NO</v>
      </c>
      <c r="C28" s="390" t="s">
        <v>615</v>
      </c>
      <c r="D28" s="417" t="s">
        <v>770</v>
      </c>
      <c r="E28" s="391" t="s">
        <v>1318</v>
      </c>
      <c r="F28" s="422"/>
      <c r="G28" s="420"/>
      <c r="H28" s="420"/>
      <c r="I28" s="420"/>
      <c r="J28" s="420"/>
      <c r="K28" s="420"/>
    </row>
    <row r="29" spans="1:11" ht="14.5" customHeight="1" x14ac:dyDescent="0.35">
      <c r="A29" s="1" t="s">
        <v>1285</v>
      </c>
      <c r="B29" s="2" t="str">
        <f t="shared" si="0"/>
        <v>SI</v>
      </c>
      <c r="C29" s="390" t="s">
        <v>626</v>
      </c>
      <c r="D29" s="417" t="s">
        <v>770</v>
      </c>
      <c r="E29" s="391" t="s">
        <v>1291</v>
      </c>
      <c r="F29" s="422">
        <v>2</v>
      </c>
      <c r="G29" s="420">
        <v>0</v>
      </c>
      <c r="H29" s="420">
        <v>0</v>
      </c>
      <c r="I29" s="420">
        <v>0</v>
      </c>
      <c r="J29" s="420">
        <v>0</v>
      </c>
      <c r="K29" s="420">
        <v>0</v>
      </c>
    </row>
    <row r="30" spans="1:11" ht="14.5" customHeight="1" x14ac:dyDescent="0.35">
      <c r="A30" s="1" t="s">
        <v>1285</v>
      </c>
      <c r="B30" s="2" t="str">
        <f t="shared" si="0"/>
        <v>NO</v>
      </c>
      <c r="C30" s="390" t="s">
        <v>627</v>
      </c>
      <c r="D30" s="417" t="s">
        <v>770</v>
      </c>
      <c r="E30" s="391" t="s">
        <v>1319</v>
      </c>
      <c r="F30" s="422"/>
      <c r="G30" s="420"/>
      <c r="H30" s="420"/>
      <c r="I30" s="420"/>
      <c r="J30" s="420"/>
      <c r="K30" s="420"/>
    </row>
    <row r="31" spans="1:11" ht="14.5" customHeight="1" x14ac:dyDescent="0.35">
      <c r="A31" s="1" t="s">
        <v>1285</v>
      </c>
      <c r="B31" s="2" t="str">
        <f t="shared" si="0"/>
        <v>NO</v>
      </c>
      <c r="C31" s="390" t="s">
        <v>628</v>
      </c>
      <c r="D31" s="417" t="s">
        <v>770</v>
      </c>
      <c r="E31" s="391" t="s">
        <v>1320</v>
      </c>
      <c r="F31" s="422"/>
      <c r="G31" s="420"/>
      <c r="H31" s="420"/>
      <c r="I31" s="420"/>
      <c r="J31" s="420"/>
      <c r="K31" s="420"/>
    </row>
    <row r="32" spans="1:11" ht="14.5" customHeight="1" x14ac:dyDescent="0.35">
      <c r="A32" s="1" t="s">
        <v>1285</v>
      </c>
      <c r="B32" s="2" t="str">
        <f t="shared" si="0"/>
        <v>NO</v>
      </c>
      <c r="C32" s="390" t="s">
        <v>630</v>
      </c>
      <c r="D32" s="417" t="s">
        <v>770</v>
      </c>
      <c r="E32" s="391" t="s">
        <v>1321</v>
      </c>
      <c r="F32" s="422"/>
      <c r="G32" s="420"/>
      <c r="H32" s="420"/>
      <c r="I32" s="420"/>
      <c r="J32" s="420"/>
      <c r="K32" s="420"/>
    </row>
    <row r="33" spans="1:11" ht="14.5" customHeight="1" x14ac:dyDescent="0.35">
      <c r="A33" s="1" t="s">
        <v>1285</v>
      </c>
      <c r="B33" s="2" t="str">
        <f t="shared" si="0"/>
        <v>NO</v>
      </c>
      <c r="C33" s="390" t="s">
        <v>631</v>
      </c>
      <c r="D33" s="417" t="s">
        <v>1408</v>
      </c>
      <c r="E33" s="391" t="s">
        <v>1322</v>
      </c>
      <c r="F33" s="422"/>
      <c r="G33" s="420"/>
      <c r="H33" s="420"/>
      <c r="I33" s="420"/>
      <c r="J33" s="420"/>
      <c r="K33" s="420"/>
    </row>
    <row r="34" spans="1:11" ht="14.5" customHeight="1" x14ac:dyDescent="0.35">
      <c r="A34" s="1" t="s">
        <v>1285</v>
      </c>
      <c r="B34" s="2" t="str">
        <f t="shared" si="0"/>
        <v>NO</v>
      </c>
      <c r="C34" s="390" t="s">
        <v>632</v>
      </c>
      <c r="D34" s="417" t="s">
        <v>770</v>
      </c>
      <c r="E34" s="391" t="s">
        <v>1323</v>
      </c>
      <c r="F34" s="422"/>
      <c r="G34" s="420"/>
      <c r="H34" s="420"/>
      <c r="I34" s="420"/>
      <c r="J34" s="420"/>
      <c r="K34" s="420"/>
    </row>
    <row r="35" spans="1:11" ht="14.5" customHeight="1" x14ac:dyDescent="0.35">
      <c r="A35" s="1" t="s">
        <v>1285</v>
      </c>
      <c r="B35" s="2" t="str">
        <f t="shared" si="0"/>
        <v>NO</v>
      </c>
      <c r="C35" s="390" t="s">
        <v>1399</v>
      </c>
      <c r="D35" s="417" t="s">
        <v>770</v>
      </c>
      <c r="E35" s="391" t="s">
        <v>1324</v>
      </c>
      <c r="F35" s="422"/>
      <c r="G35" s="420"/>
      <c r="H35" s="420"/>
      <c r="I35" s="420"/>
      <c r="J35" s="420"/>
      <c r="K35" s="420"/>
    </row>
    <row r="36" spans="1:11" ht="14.5" customHeight="1" x14ac:dyDescent="0.35">
      <c r="A36" s="1" t="s">
        <v>1285</v>
      </c>
      <c r="B36" s="2" t="str">
        <f t="shared" si="0"/>
        <v>NO</v>
      </c>
      <c r="C36" s="390" t="s">
        <v>1400</v>
      </c>
      <c r="D36" s="417" t="s">
        <v>770</v>
      </c>
      <c r="E36" s="391" t="s">
        <v>1325</v>
      </c>
      <c r="F36" s="422"/>
      <c r="G36" s="420"/>
      <c r="H36" s="420"/>
      <c r="I36" s="420"/>
      <c r="J36" s="420"/>
      <c r="K36" s="420"/>
    </row>
    <row r="37" spans="1:11" x14ac:dyDescent="0.35">
      <c r="A37" s="1" t="s">
        <v>1285</v>
      </c>
      <c r="B37" s="2" t="str">
        <f t="shared" si="0"/>
        <v>NO</v>
      </c>
      <c r="C37" s="390" t="s">
        <v>1401</v>
      </c>
      <c r="D37" s="417" t="s">
        <v>770</v>
      </c>
      <c r="E37" s="391" t="s">
        <v>1326</v>
      </c>
      <c r="F37" s="422"/>
      <c r="G37" s="420"/>
      <c r="H37" s="420"/>
      <c r="I37" s="420"/>
      <c r="J37" s="420"/>
      <c r="K37" s="420"/>
    </row>
    <row r="38" spans="1:11" x14ac:dyDescent="0.35">
      <c r="A38" s="1" t="s">
        <v>1285</v>
      </c>
      <c r="B38" s="2" t="str">
        <f t="shared" si="0"/>
        <v>NO</v>
      </c>
      <c r="C38" s="390" t="s">
        <v>1341</v>
      </c>
      <c r="D38" s="417" t="s">
        <v>770</v>
      </c>
      <c r="E38" s="391" t="s">
        <v>1327</v>
      </c>
      <c r="F38" s="422"/>
      <c r="G38" s="420"/>
      <c r="H38" s="420"/>
      <c r="I38" s="420"/>
      <c r="J38" s="420"/>
      <c r="K38" s="420"/>
    </row>
    <row r="39" spans="1:11" x14ac:dyDescent="0.35">
      <c r="A39" s="1" t="s">
        <v>1285</v>
      </c>
      <c r="B39" s="2" t="str">
        <f t="shared" si="0"/>
        <v>NO</v>
      </c>
      <c r="C39" s="390" t="s">
        <v>1342</v>
      </c>
      <c r="D39" s="417" t="s">
        <v>1408</v>
      </c>
      <c r="E39" s="391" t="s">
        <v>1328</v>
      </c>
      <c r="F39" s="422"/>
      <c r="G39" s="420"/>
      <c r="H39" s="420"/>
      <c r="I39" s="420"/>
      <c r="J39" s="420"/>
      <c r="K39" s="420"/>
    </row>
    <row r="40" spans="1:11" x14ac:dyDescent="0.35">
      <c r="A40" s="1" t="s">
        <v>1285</v>
      </c>
      <c r="B40" s="2" t="str">
        <f t="shared" si="0"/>
        <v>NO</v>
      </c>
      <c r="C40" s="390" t="s">
        <v>1343</v>
      </c>
      <c r="D40" s="417" t="s">
        <v>770</v>
      </c>
      <c r="E40" s="391" t="s">
        <v>1329</v>
      </c>
      <c r="F40" s="422"/>
      <c r="G40" s="420"/>
      <c r="H40" s="420"/>
      <c r="I40" s="420"/>
      <c r="J40" s="420"/>
      <c r="K40" s="420"/>
    </row>
    <row r="41" spans="1:11" x14ac:dyDescent="0.35">
      <c r="A41" s="1" t="s">
        <v>1285</v>
      </c>
      <c r="B41" s="2" t="str">
        <f t="shared" si="0"/>
        <v>NO</v>
      </c>
      <c r="C41" s="390" t="s">
        <v>1402</v>
      </c>
      <c r="D41" s="417" t="s">
        <v>770</v>
      </c>
      <c r="E41" s="391" t="s">
        <v>1329</v>
      </c>
      <c r="F41" s="422"/>
      <c r="G41" s="420"/>
      <c r="H41" s="420"/>
      <c r="I41" s="420"/>
      <c r="J41" s="420"/>
      <c r="K41" s="420"/>
    </row>
    <row r="42" spans="1:11" x14ac:dyDescent="0.35">
      <c r="A42" s="1" t="s">
        <v>1285</v>
      </c>
      <c r="B42" s="2" t="str">
        <f t="shared" si="0"/>
        <v>NO</v>
      </c>
      <c r="C42" s="390" t="s">
        <v>1403</v>
      </c>
      <c r="D42" s="417" t="s">
        <v>770</v>
      </c>
      <c r="E42" s="391" t="s">
        <v>1330</v>
      </c>
      <c r="F42" s="422"/>
      <c r="G42" s="420"/>
      <c r="H42" s="420"/>
      <c r="I42" s="420"/>
      <c r="J42" s="420"/>
      <c r="K42" s="420"/>
    </row>
    <row r="43" spans="1:11" s="392" customFormat="1" x14ac:dyDescent="0.35">
      <c r="B43" s="2" t="str">
        <f>IF(SUM(F$14:K$42)&gt;0,"SI","NO")</f>
        <v>SI</v>
      </c>
      <c r="C43" s="396"/>
      <c r="D43" s="397"/>
      <c r="E43" s="398"/>
      <c r="F43" s="399" t="s">
        <v>1412</v>
      </c>
      <c r="G43" s="421">
        <f>SUMIF($D14:$D42,"+",G14:G42)-SUMIF($D14:$D42,"-",G14:G42)</f>
        <v>0</v>
      </c>
      <c r="H43" s="421">
        <f>SUMIF($D14:$D42,"+",H14:H42)-SUMIF($D14:$D42,"-",H14:H42)</f>
        <v>0</v>
      </c>
      <c r="I43" s="421">
        <f>SUMIF($D14:$D42,"+",I14:I42)-SUMIF($D14:$D42,"-",I14:I42)</f>
        <v>0</v>
      </c>
      <c r="J43" s="421">
        <f>SUMIF($D14:$D42,"+",J14:J42)-SUMIF($D14:$D42,"-",J14:J42)</f>
        <v>0</v>
      </c>
      <c r="K43" s="421">
        <f>SUMIF($D14:$D42,"+",K14:K42)-SUMIF($D14:$D42,"-",K14:K42)</f>
        <v>0</v>
      </c>
    </row>
    <row r="44" spans="1:11" x14ac:dyDescent="0.35">
      <c r="B44" s="2" t="str">
        <f>IF(SUM(F$14:K$42)&gt;0,"SI","NO")</f>
        <v>SI</v>
      </c>
    </row>
    <row r="45" spans="1:11" x14ac:dyDescent="0.35">
      <c r="B45" s="2" t="str">
        <f>IF(SUM(F$47:K$63)&gt;0,"SI","NO")</f>
        <v>SI</v>
      </c>
      <c r="C45" s="386" t="s">
        <v>1288</v>
      </c>
      <c r="D45" s="387"/>
      <c r="E45" s="388"/>
      <c r="F45" s="388"/>
      <c r="G45" s="388"/>
      <c r="H45" s="388"/>
      <c r="I45" s="388"/>
      <c r="J45" s="388"/>
      <c r="K45" s="389"/>
    </row>
    <row r="46" spans="1:11" s="402" customFormat="1" ht="44.15" customHeight="1" x14ac:dyDescent="0.35">
      <c r="B46" s="2" t="str">
        <f>IF(SUM(F$47:K$63)&gt;0,"SI","NO")</f>
        <v>SI</v>
      </c>
      <c r="C46" s="400" t="s">
        <v>1300</v>
      </c>
      <c r="D46" s="400"/>
      <c r="E46" s="401" t="s">
        <v>1286</v>
      </c>
      <c r="F46" s="401" t="s">
        <v>1301</v>
      </c>
      <c r="G46" s="401" t="s">
        <v>1413</v>
      </c>
      <c r="H46" s="401" t="s">
        <v>1414</v>
      </c>
      <c r="I46" s="401" t="s">
        <v>1415</v>
      </c>
      <c r="J46" s="401" t="s">
        <v>1419</v>
      </c>
      <c r="K46" s="401" t="s">
        <v>1302</v>
      </c>
    </row>
    <row r="47" spans="1:11" ht="14.5" customHeight="1" x14ac:dyDescent="0.35">
      <c r="A47" s="1" t="s">
        <v>1288</v>
      </c>
      <c r="B47" s="2" t="str">
        <f t="shared" ref="B47:B62" si="1">IF(SUM(F47:K47)&gt;0,"SI","NO")</f>
        <v>SI</v>
      </c>
      <c r="C47" s="390" t="s">
        <v>611</v>
      </c>
      <c r="D47" s="417" t="s">
        <v>1408</v>
      </c>
      <c r="E47" s="391" t="s">
        <v>1331</v>
      </c>
      <c r="F47" s="422">
        <v>1</v>
      </c>
      <c r="G47" s="420">
        <v>0</v>
      </c>
      <c r="H47" s="420">
        <v>0</v>
      </c>
      <c r="I47" s="420">
        <v>0</v>
      </c>
      <c r="J47" s="420">
        <v>0</v>
      </c>
      <c r="K47" s="420">
        <v>0</v>
      </c>
    </row>
    <row r="48" spans="1:11" ht="14.5" customHeight="1" x14ac:dyDescent="0.35">
      <c r="A48" s="1" t="s">
        <v>1288</v>
      </c>
      <c r="B48" s="2" t="str">
        <f t="shared" si="1"/>
        <v>NO</v>
      </c>
      <c r="C48" s="390" t="s">
        <v>612</v>
      </c>
      <c r="D48" s="390" t="s">
        <v>770</v>
      </c>
      <c r="E48" s="391" t="s">
        <v>1332</v>
      </c>
      <c r="F48" s="422"/>
      <c r="G48" s="420"/>
      <c r="H48" s="420"/>
      <c r="I48" s="420"/>
      <c r="J48" s="420"/>
      <c r="K48" s="420"/>
    </row>
    <row r="49" spans="1:11" ht="14.5" customHeight="1" x14ac:dyDescent="0.35">
      <c r="A49" s="1" t="s">
        <v>1288</v>
      </c>
      <c r="B49" s="2" t="str">
        <f t="shared" si="1"/>
        <v>SI</v>
      </c>
      <c r="C49" s="390" t="s">
        <v>622</v>
      </c>
      <c r="D49" s="390" t="s">
        <v>770</v>
      </c>
      <c r="E49" s="391" t="s">
        <v>1333</v>
      </c>
      <c r="F49" s="422">
        <v>6</v>
      </c>
      <c r="G49" s="420">
        <v>0</v>
      </c>
      <c r="H49" s="420">
        <v>0</v>
      </c>
      <c r="I49" s="420">
        <v>0</v>
      </c>
      <c r="J49" s="420">
        <v>0</v>
      </c>
      <c r="K49" s="420">
        <v>0</v>
      </c>
    </row>
    <row r="50" spans="1:11" ht="14.5" customHeight="1" x14ac:dyDescent="0.35">
      <c r="A50" s="1" t="s">
        <v>1288</v>
      </c>
      <c r="B50" s="2" t="str">
        <f t="shared" si="1"/>
        <v>NO</v>
      </c>
      <c r="C50" s="390" t="s">
        <v>629</v>
      </c>
      <c r="D50" s="390" t="s">
        <v>770</v>
      </c>
      <c r="E50" s="391" t="s">
        <v>1334</v>
      </c>
      <c r="F50" s="422"/>
      <c r="G50" s="420"/>
      <c r="H50" s="420"/>
      <c r="I50" s="420"/>
      <c r="J50" s="420"/>
      <c r="K50" s="420"/>
    </row>
    <row r="51" spans="1:11" ht="14.5" customHeight="1" x14ac:dyDescent="0.35">
      <c r="A51" s="1" t="s">
        <v>1288</v>
      </c>
      <c r="B51" s="2" t="str">
        <f t="shared" si="1"/>
        <v>NO</v>
      </c>
      <c r="C51" s="390" t="s">
        <v>633</v>
      </c>
      <c r="D51" s="390" t="s">
        <v>770</v>
      </c>
      <c r="E51" s="391" t="s">
        <v>1335</v>
      </c>
      <c r="F51" s="422"/>
      <c r="G51" s="420"/>
      <c r="H51" s="420"/>
      <c r="I51" s="420"/>
      <c r="J51" s="420"/>
      <c r="K51" s="420"/>
    </row>
    <row r="52" spans="1:11" ht="14.5" customHeight="1" x14ac:dyDescent="0.35">
      <c r="A52" s="1" t="s">
        <v>1288</v>
      </c>
      <c r="B52" s="2" t="str">
        <f t="shared" si="1"/>
        <v>NO</v>
      </c>
      <c r="C52" s="390" t="s">
        <v>634</v>
      </c>
      <c r="D52" s="390" t="s">
        <v>770</v>
      </c>
      <c r="E52" s="391" t="s">
        <v>1336</v>
      </c>
      <c r="F52" s="422"/>
      <c r="G52" s="420"/>
      <c r="H52" s="420"/>
      <c r="I52" s="420"/>
      <c r="J52" s="420"/>
      <c r="K52" s="420"/>
    </row>
    <row r="53" spans="1:11" ht="14.5" customHeight="1" x14ac:dyDescent="0.35">
      <c r="A53" s="1" t="s">
        <v>1288</v>
      </c>
      <c r="B53" s="2" t="str">
        <f t="shared" si="1"/>
        <v>NO</v>
      </c>
      <c r="C53" s="390" t="s">
        <v>635</v>
      </c>
      <c r="D53" s="417" t="s">
        <v>1408</v>
      </c>
      <c r="E53" s="391" t="s">
        <v>1337</v>
      </c>
      <c r="F53" s="422"/>
      <c r="G53" s="420"/>
      <c r="H53" s="420"/>
      <c r="I53" s="420"/>
      <c r="J53" s="420"/>
      <c r="K53" s="420"/>
    </row>
    <row r="54" spans="1:11" ht="14.5" customHeight="1" x14ac:dyDescent="0.35">
      <c r="A54" s="1" t="s">
        <v>1288</v>
      </c>
      <c r="B54" s="2" t="str">
        <f t="shared" si="1"/>
        <v>NO</v>
      </c>
      <c r="C54" s="390" t="s">
        <v>636</v>
      </c>
      <c r="D54" s="390" t="s">
        <v>770</v>
      </c>
      <c r="E54" s="391" t="s">
        <v>1338</v>
      </c>
      <c r="F54" s="422"/>
      <c r="G54" s="420"/>
      <c r="H54" s="420"/>
      <c r="I54" s="420"/>
      <c r="J54" s="420"/>
      <c r="K54" s="420"/>
    </row>
    <row r="55" spans="1:11" ht="14.5" customHeight="1" x14ac:dyDescent="0.35">
      <c r="A55" s="1" t="s">
        <v>1288</v>
      </c>
      <c r="B55" s="2" t="str">
        <f t="shared" si="1"/>
        <v>NO</v>
      </c>
      <c r="C55" s="390" t="s">
        <v>1339</v>
      </c>
      <c r="D55" s="390" t="s">
        <v>770</v>
      </c>
      <c r="E55" s="391" t="s">
        <v>1340</v>
      </c>
      <c r="F55" s="422"/>
      <c r="G55" s="420"/>
      <c r="H55" s="420"/>
      <c r="I55" s="420"/>
      <c r="J55" s="420"/>
      <c r="K55" s="420"/>
    </row>
    <row r="56" spans="1:11" ht="14.5" customHeight="1" x14ac:dyDescent="0.35">
      <c r="A56" s="1" t="s">
        <v>1288</v>
      </c>
      <c r="B56" s="2" t="str">
        <f t="shared" si="1"/>
        <v>NO</v>
      </c>
      <c r="C56" s="390" t="s">
        <v>1341</v>
      </c>
      <c r="D56" s="390" t="s">
        <v>770</v>
      </c>
      <c r="E56" s="391" t="s">
        <v>1327</v>
      </c>
      <c r="F56" s="422"/>
      <c r="G56" s="420"/>
      <c r="H56" s="420"/>
      <c r="I56" s="420"/>
      <c r="J56" s="420"/>
      <c r="K56" s="420"/>
    </row>
    <row r="57" spans="1:11" ht="14.5" customHeight="1" x14ac:dyDescent="0.35">
      <c r="A57" s="1" t="s">
        <v>1288</v>
      </c>
      <c r="B57" s="2" t="str">
        <f t="shared" si="1"/>
        <v>NO</v>
      </c>
      <c r="C57" s="390" t="s">
        <v>1342</v>
      </c>
      <c r="D57" s="417" t="s">
        <v>1408</v>
      </c>
      <c r="E57" s="391" t="s">
        <v>1328</v>
      </c>
      <c r="F57" s="422"/>
      <c r="G57" s="420"/>
      <c r="H57" s="420"/>
      <c r="I57" s="420"/>
      <c r="J57" s="420"/>
      <c r="K57" s="420"/>
    </row>
    <row r="58" spans="1:11" ht="14.5" customHeight="1" x14ac:dyDescent="0.35">
      <c r="A58" s="1" t="s">
        <v>1288</v>
      </c>
      <c r="B58" s="2" t="str">
        <f t="shared" si="1"/>
        <v>NO</v>
      </c>
      <c r="C58" s="390" t="s">
        <v>1343</v>
      </c>
      <c r="D58" s="390" t="s">
        <v>770</v>
      </c>
      <c r="E58" s="391" t="s">
        <v>1329</v>
      </c>
      <c r="F58" s="422"/>
      <c r="G58" s="420"/>
      <c r="H58" s="420"/>
      <c r="I58" s="420"/>
      <c r="J58" s="420"/>
      <c r="K58" s="420"/>
    </row>
    <row r="59" spans="1:11" s="392" customFormat="1" ht="14.5" customHeight="1" x14ac:dyDescent="0.35">
      <c r="B59" s="2" t="str">
        <f>IF(SUM(F$47:K$58)&gt;0,"SI","NO")</f>
        <v>SI</v>
      </c>
      <c r="C59" s="416" t="s">
        <v>750</v>
      </c>
      <c r="D59" s="416"/>
      <c r="E59" s="398"/>
      <c r="F59" s="399" t="s">
        <v>1412</v>
      </c>
      <c r="G59" s="421">
        <f>SUMIF($D47:$D58,"+",G47:G58)-SUMIF($D47:$D58,"-",G47:G58)</f>
        <v>0</v>
      </c>
      <c r="H59" s="421">
        <f>SUMIF($D47:$D58,"+",H47:H58)-SUMIF($D47:$D58,"-",H47:H58)</f>
        <v>0</v>
      </c>
      <c r="I59" s="421">
        <f>SUMIF($D47:$D58,"+",I47:I58)-SUMIF($D47:$D58,"-",I47:I58)</f>
        <v>0</v>
      </c>
      <c r="J59" s="421">
        <f>SUMIF($D47:$D58,"+",J47:J58)-SUMIF($D47:$D58,"-",J47:J58)</f>
        <v>0</v>
      </c>
      <c r="K59" s="421">
        <f>SUMIF($D47:$D58,"+",K47:K58)-SUMIF($D47:$D58,"-",K47:K58)</f>
        <v>0</v>
      </c>
    </row>
    <row r="60" spans="1:11" x14ac:dyDescent="0.35">
      <c r="A60" s="1" t="s">
        <v>1288</v>
      </c>
      <c r="B60" s="2" t="str">
        <f t="shared" si="1"/>
        <v>NO</v>
      </c>
      <c r="C60" s="390" t="s">
        <v>626</v>
      </c>
      <c r="D60" s="390" t="s">
        <v>770</v>
      </c>
      <c r="E60" s="391" t="s">
        <v>1291</v>
      </c>
      <c r="F60" s="422"/>
      <c r="G60" s="420"/>
      <c r="H60" s="420"/>
      <c r="I60" s="420"/>
      <c r="J60" s="420"/>
      <c r="K60" s="420"/>
    </row>
    <row r="61" spans="1:11" x14ac:dyDescent="0.35">
      <c r="A61" s="1" t="s">
        <v>1288</v>
      </c>
      <c r="B61" s="2" t="str">
        <f t="shared" si="1"/>
        <v>NO</v>
      </c>
      <c r="C61" s="390" t="s">
        <v>631</v>
      </c>
      <c r="D61" s="417" t="s">
        <v>1408</v>
      </c>
      <c r="E61" s="391" t="s">
        <v>1322</v>
      </c>
      <c r="F61" s="422"/>
      <c r="G61" s="420"/>
      <c r="H61" s="420"/>
      <c r="I61" s="420"/>
      <c r="J61" s="420"/>
      <c r="K61" s="420"/>
    </row>
    <row r="62" spans="1:11" x14ac:dyDescent="0.35">
      <c r="A62" s="1" t="s">
        <v>1288</v>
      </c>
      <c r="B62" s="2" t="str">
        <f t="shared" si="1"/>
        <v>NO</v>
      </c>
      <c r="C62" s="390" t="s">
        <v>632</v>
      </c>
      <c r="D62" s="390" t="s">
        <v>770</v>
      </c>
      <c r="E62" s="391" t="s">
        <v>1323</v>
      </c>
      <c r="F62" s="422"/>
      <c r="G62" s="420"/>
      <c r="H62" s="420"/>
      <c r="I62" s="420"/>
      <c r="J62" s="420"/>
      <c r="K62" s="420"/>
    </row>
    <row r="63" spans="1:11" s="392" customFormat="1" x14ac:dyDescent="0.35">
      <c r="B63" s="2" t="str">
        <f>IF(SUM(F$60:K$62)&gt;0,"SI","NO")</f>
        <v>NO</v>
      </c>
      <c r="C63" s="396"/>
      <c r="D63" s="397"/>
      <c r="E63" s="398"/>
      <c r="F63" s="399" t="s">
        <v>1412</v>
      </c>
      <c r="G63" s="421">
        <f>SUMIF($D60:$D62,"+",G60:G62)-SUMIF($D60:$D62,"-",G60:G62)</f>
        <v>0</v>
      </c>
      <c r="H63" s="421">
        <f>SUMIF($D60:$D62,"+",H60:H62)-SUMIF($D60:$D62,"-",H60:H62)</f>
        <v>0</v>
      </c>
      <c r="I63" s="421">
        <f>SUMIF($D60:$D62,"+",I60:I62)-SUMIF($D60:$D62,"-",I60:I62)</f>
        <v>0</v>
      </c>
      <c r="J63" s="421">
        <f>SUMIF($D60:$D62,"+",J60:J62)-SUMIF($D60:$D62,"-",J60:J62)</f>
        <v>0</v>
      </c>
      <c r="K63" s="421">
        <f>SUMIF($D60:$D62,"+",K60:K62)-SUMIF($D60:$D62,"-",K60:K62)</f>
        <v>0</v>
      </c>
    </row>
    <row r="64" spans="1:11" x14ac:dyDescent="0.35">
      <c r="B64" s="2" t="str">
        <f>IF(SUM(F$47:K$63)&gt;0,"SI","NO")</f>
        <v>SI</v>
      </c>
    </row>
    <row r="65" spans="1:11" x14ac:dyDescent="0.35">
      <c r="B65" s="2" t="str">
        <f>IF(SUM(I$67:K$73)&gt;0,"SI","NO")</f>
        <v>NO</v>
      </c>
      <c r="C65" s="386" t="s">
        <v>1289</v>
      </c>
      <c r="D65" s="387"/>
      <c r="E65" s="388"/>
      <c r="F65" s="388"/>
      <c r="G65" s="388"/>
      <c r="H65" s="388"/>
      <c r="I65" s="388"/>
      <c r="J65" s="388"/>
      <c r="K65" s="389"/>
    </row>
    <row r="66" spans="1:11" s="402" customFormat="1" ht="29.15" customHeight="1" x14ac:dyDescent="0.35">
      <c r="B66" s="2" t="str">
        <f>IF(SUM(I$67:K$73)&gt;0,"SI","NO")</f>
        <v>NO</v>
      </c>
      <c r="C66" s="400" t="s">
        <v>1300</v>
      </c>
      <c r="D66" s="400"/>
      <c r="E66" s="1405" t="s">
        <v>1286</v>
      </c>
      <c r="F66" s="1406"/>
      <c r="G66" s="1406"/>
      <c r="H66" s="1407"/>
      <c r="I66" s="401" t="s">
        <v>1301</v>
      </c>
      <c r="J66" s="1396" t="s">
        <v>1344</v>
      </c>
      <c r="K66" s="1398"/>
    </row>
    <row r="67" spans="1:11" x14ac:dyDescent="0.35">
      <c r="A67" s="1" t="s">
        <v>1289</v>
      </c>
      <c r="B67" s="2" t="str">
        <f>IF(SUM(I67:K67)&gt;0,"SI","NO")</f>
        <v>NO</v>
      </c>
      <c r="C67" s="390" t="s">
        <v>608</v>
      </c>
      <c r="D67" s="390" t="s">
        <v>770</v>
      </c>
      <c r="E67" s="1390" t="s">
        <v>1345</v>
      </c>
      <c r="F67" s="1390"/>
      <c r="G67" s="1390"/>
      <c r="H67" s="1390"/>
      <c r="I67" s="423"/>
      <c r="J67" s="1401"/>
      <c r="K67" s="1402"/>
    </row>
    <row r="68" spans="1:11" x14ac:dyDescent="0.35">
      <c r="A68" s="1" t="s">
        <v>1289</v>
      </c>
      <c r="B68" s="2" t="str">
        <f t="shared" ref="B68:B73" si="2">IF(SUM(I68:K68)&gt;0,"SI","NO")</f>
        <v>NO</v>
      </c>
      <c r="C68" s="390" t="s">
        <v>611</v>
      </c>
      <c r="D68" s="417" t="s">
        <v>1408</v>
      </c>
      <c r="E68" s="1390" t="s">
        <v>1346</v>
      </c>
      <c r="F68" s="1390"/>
      <c r="G68" s="1390"/>
      <c r="H68" s="1390"/>
      <c r="I68" s="423"/>
      <c r="J68" s="1401"/>
      <c r="K68" s="1402"/>
    </row>
    <row r="69" spans="1:11" x14ac:dyDescent="0.35">
      <c r="A69" s="1" t="s">
        <v>1289</v>
      </c>
      <c r="B69" s="2" t="str">
        <f t="shared" si="2"/>
        <v>NO</v>
      </c>
      <c r="C69" s="390" t="s">
        <v>612</v>
      </c>
      <c r="D69" s="390" t="s">
        <v>770</v>
      </c>
      <c r="E69" s="1390" t="s">
        <v>1347</v>
      </c>
      <c r="F69" s="1390"/>
      <c r="G69" s="1390"/>
      <c r="H69" s="1390"/>
      <c r="I69" s="423"/>
      <c r="J69" s="1401"/>
      <c r="K69" s="1402"/>
    </row>
    <row r="70" spans="1:11" x14ac:dyDescent="0.35">
      <c r="A70" s="1" t="s">
        <v>1289</v>
      </c>
      <c r="B70" s="2" t="str">
        <f t="shared" si="2"/>
        <v>NO</v>
      </c>
      <c r="C70" s="390" t="s">
        <v>621</v>
      </c>
      <c r="D70" s="390" t="s">
        <v>770</v>
      </c>
      <c r="E70" s="1390" t="s">
        <v>1348</v>
      </c>
      <c r="F70" s="1390"/>
      <c r="G70" s="1390"/>
      <c r="H70" s="1390"/>
      <c r="I70" s="423"/>
      <c r="J70" s="1401"/>
      <c r="K70" s="1402"/>
    </row>
    <row r="71" spans="1:11" x14ac:dyDescent="0.35">
      <c r="A71" s="1" t="s">
        <v>1289</v>
      </c>
      <c r="B71" s="2" t="str">
        <f t="shared" si="2"/>
        <v>NO</v>
      </c>
      <c r="C71" s="390" t="s">
        <v>626</v>
      </c>
      <c r="D71" s="390" t="s">
        <v>770</v>
      </c>
      <c r="E71" s="1390" t="s">
        <v>1291</v>
      </c>
      <c r="F71" s="1390"/>
      <c r="G71" s="1390"/>
      <c r="H71" s="1390"/>
      <c r="I71" s="423"/>
      <c r="J71" s="1401"/>
      <c r="K71" s="1402"/>
    </row>
    <row r="72" spans="1:11" x14ac:dyDescent="0.35">
      <c r="A72" s="1" t="s">
        <v>1289</v>
      </c>
      <c r="B72" s="2" t="str">
        <f t="shared" si="2"/>
        <v>NO</v>
      </c>
      <c r="C72" s="390" t="s">
        <v>631</v>
      </c>
      <c r="D72" s="417" t="s">
        <v>1408</v>
      </c>
      <c r="E72" s="1390" t="s">
        <v>1322</v>
      </c>
      <c r="F72" s="1390"/>
      <c r="G72" s="1390"/>
      <c r="H72" s="1390"/>
      <c r="I72" s="423"/>
      <c r="J72" s="1401"/>
      <c r="K72" s="1402"/>
    </row>
    <row r="73" spans="1:11" x14ac:dyDescent="0.35">
      <c r="A73" s="1" t="s">
        <v>1289</v>
      </c>
      <c r="B73" s="2" t="str">
        <f t="shared" si="2"/>
        <v>NO</v>
      </c>
      <c r="C73" s="390" t="s">
        <v>632</v>
      </c>
      <c r="D73" s="390" t="s">
        <v>770</v>
      </c>
      <c r="E73" s="1390" t="s">
        <v>1323</v>
      </c>
      <c r="F73" s="1390"/>
      <c r="G73" s="1390"/>
      <c r="H73" s="1390"/>
      <c r="I73" s="423"/>
      <c r="J73" s="1401"/>
      <c r="K73" s="1402"/>
    </row>
    <row r="74" spans="1:11" s="392" customFormat="1" x14ac:dyDescent="0.35">
      <c r="B74" s="2" t="str">
        <f>IF(SUM(I$67:K$73)&gt;0,"SI","NO")</f>
        <v>NO</v>
      </c>
      <c r="C74" s="396"/>
      <c r="D74" s="397"/>
      <c r="E74" s="398"/>
      <c r="F74" s="398"/>
      <c r="G74" s="1391"/>
      <c r="H74" s="1392"/>
      <c r="I74" s="399" t="s">
        <v>1412</v>
      </c>
      <c r="J74" s="1403">
        <f>SUMIF($D67:$D73,"+",J67:K73)-SUMIF($D67:$D73,"-",J67:K73)</f>
        <v>0</v>
      </c>
      <c r="K74" s="1404"/>
    </row>
    <row r="75" spans="1:11" x14ac:dyDescent="0.35">
      <c r="B75" s="2" t="str">
        <f>IF(SUM(I$67:K$73)&gt;0,"SI","NO")</f>
        <v>NO</v>
      </c>
    </row>
    <row r="76" spans="1:11" x14ac:dyDescent="0.35">
      <c r="B76" s="2" t="str">
        <f>IF(SUM(I$78:K$78)&gt;0,"SI","NO")</f>
        <v>NO</v>
      </c>
      <c r="C76" s="386" t="s">
        <v>1292</v>
      </c>
      <c r="D76" s="387"/>
      <c r="E76" s="388"/>
      <c r="F76" s="388"/>
      <c r="G76" s="388"/>
      <c r="H76" s="388"/>
      <c r="I76" s="388"/>
      <c r="J76" s="388"/>
      <c r="K76" s="389"/>
    </row>
    <row r="77" spans="1:11" ht="7.5" customHeight="1" x14ac:dyDescent="0.35">
      <c r="B77" s="2" t="str">
        <f>IF(SUM(I$78:K$78)&gt;0,"SI","NO")</f>
        <v>NO</v>
      </c>
    </row>
    <row r="78" spans="1:11" x14ac:dyDescent="0.35">
      <c r="A78" s="1" t="s">
        <v>1469</v>
      </c>
      <c r="B78" s="2" t="str">
        <f>IF(SUM(I$78:K$78)&gt;0,"SI","NO")</f>
        <v>NO</v>
      </c>
      <c r="C78" s="403" t="s">
        <v>1349</v>
      </c>
      <c r="D78" s="403"/>
      <c r="E78" s="404"/>
      <c r="F78" s="404"/>
      <c r="G78" s="405"/>
      <c r="H78" s="410"/>
      <c r="I78" s="408">
        <v>0</v>
      </c>
      <c r="J78" s="408"/>
      <c r="K78" s="407"/>
    </row>
    <row r="79" spans="1:11" x14ac:dyDescent="0.35">
      <c r="B79" s="2" t="str">
        <f>IF(SUM(I$78:K$78)&gt;0,"SI","NO")</f>
        <v>NO</v>
      </c>
    </row>
    <row r="80" spans="1:11" s="383" customFormat="1" ht="21.65" customHeight="1" x14ac:dyDescent="0.35">
      <c r="B80" s="2" t="str">
        <f>IF(SUM(I$84:K$238)&gt;0,"SI","NO")</f>
        <v>SI</v>
      </c>
      <c r="C80" s="1412" t="s">
        <v>1350</v>
      </c>
      <c r="D80" s="1413"/>
      <c r="E80" s="1413"/>
      <c r="F80" s="1413"/>
      <c r="G80" s="1413"/>
      <c r="H80" s="1413"/>
      <c r="I80" s="1413"/>
      <c r="J80" s="1413"/>
      <c r="K80" s="1414"/>
    </row>
    <row r="81" spans="1:11" x14ac:dyDescent="0.35">
      <c r="B81" s="2" t="str">
        <f>IF(SUM(I$84:K$238)&gt;0,"SI","NO")</f>
        <v>SI</v>
      </c>
    </row>
    <row r="82" spans="1:11" x14ac:dyDescent="0.35">
      <c r="B82" s="2" t="str">
        <f>IF(SUM(I$84:K$220)&gt;0,"SI","NO")</f>
        <v>SI</v>
      </c>
      <c r="C82" s="1393" t="s">
        <v>1351</v>
      </c>
      <c r="D82" s="1394"/>
      <c r="E82" s="1394"/>
      <c r="F82" s="1394"/>
      <c r="G82" s="1394"/>
      <c r="H82" s="1394"/>
      <c r="I82" s="1394"/>
      <c r="J82" s="1394"/>
      <c r="K82" s="1395"/>
    </row>
    <row r="83" spans="1:11" s="402" customFormat="1" ht="29" x14ac:dyDescent="0.35">
      <c r="B83" s="2" t="str">
        <f>IF(SUM(I$84:K$220)&gt;0,"SI","NO")</f>
        <v>SI</v>
      </c>
      <c r="C83" s="400" t="s">
        <v>1300</v>
      </c>
      <c r="D83" s="400"/>
      <c r="E83" s="1405" t="s">
        <v>1352</v>
      </c>
      <c r="F83" s="1406"/>
      <c r="G83" s="1406"/>
      <c r="H83" s="1407"/>
      <c r="I83" s="401" t="s">
        <v>1301</v>
      </c>
      <c r="J83" s="401" t="s">
        <v>1353</v>
      </c>
      <c r="K83" s="401" t="s">
        <v>1035</v>
      </c>
    </row>
    <row r="84" spans="1:11" ht="14.5" customHeight="1" x14ac:dyDescent="0.35">
      <c r="A84" s="1" t="s">
        <v>1455</v>
      </c>
      <c r="B84" s="2" t="str">
        <f>IF(SUM(I84:K84)&gt;0,"SI","NO")</f>
        <v>NO</v>
      </c>
      <c r="C84" s="390" t="s">
        <v>2322</v>
      </c>
      <c r="D84" s="390" t="s">
        <v>770</v>
      </c>
      <c r="E84" s="1415" t="s">
        <v>2323</v>
      </c>
      <c r="F84" s="1416"/>
      <c r="G84" s="1416"/>
      <c r="H84" s="1417"/>
      <c r="I84" s="423"/>
      <c r="J84" s="420"/>
      <c r="K84" s="420"/>
    </row>
    <row r="85" spans="1:11" ht="14.5" customHeight="1" x14ac:dyDescent="0.35">
      <c r="A85" s="1" t="s">
        <v>1455</v>
      </c>
      <c r="B85" s="2" t="str">
        <f t="shared" ref="B85:B149" si="3">IF(SUM(I85:K85)&gt;0,"SI","NO")</f>
        <v>SI</v>
      </c>
      <c r="C85" s="390" t="s">
        <v>1422</v>
      </c>
      <c r="D85" s="390" t="s">
        <v>770</v>
      </c>
      <c r="E85" s="1415" t="s">
        <v>80</v>
      </c>
      <c r="F85" s="1416"/>
      <c r="G85" s="1416"/>
      <c r="H85" s="1417"/>
      <c r="I85" s="423">
        <v>15</v>
      </c>
      <c r="J85" s="420">
        <v>18429.91</v>
      </c>
      <c r="K85" s="420">
        <v>1842.99</v>
      </c>
    </row>
    <row r="86" spans="1:11" ht="14.5" customHeight="1" x14ac:dyDescent="0.35">
      <c r="A86" s="1" t="s">
        <v>1455</v>
      </c>
      <c r="B86" s="2" t="str">
        <f t="shared" si="3"/>
        <v>SI</v>
      </c>
      <c r="C86" s="390" t="s">
        <v>2209</v>
      </c>
      <c r="D86" s="390" t="s">
        <v>770</v>
      </c>
      <c r="E86" s="1415" t="s">
        <v>2210</v>
      </c>
      <c r="F86" s="1416"/>
      <c r="G86" s="1416"/>
      <c r="H86" s="1417"/>
      <c r="I86" s="423">
        <v>6</v>
      </c>
      <c r="J86" s="420">
        <v>3202.48</v>
      </c>
      <c r="K86" s="420">
        <v>96.06</v>
      </c>
    </row>
    <row r="87" spans="1:11" ht="14.5" customHeight="1" x14ac:dyDescent="0.35">
      <c r="A87" s="1" t="s">
        <v>1455</v>
      </c>
      <c r="B87" s="2" t="str">
        <f t="shared" si="3"/>
        <v>NO</v>
      </c>
      <c r="C87" s="390" t="s">
        <v>1404</v>
      </c>
      <c r="D87" s="390" t="s">
        <v>770</v>
      </c>
      <c r="E87" s="1387" t="s">
        <v>81</v>
      </c>
      <c r="F87" s="1388"/>
      <c r="G87" s="1388"/>
      <c r="H87" s="1389"/>
      <c r="I87" s="423"/>
      <c r="J87" s="420"/>
      <c r="K87" s="420"/>
    </row>
    <row r="88" spans="1:11" ht="14.5" customHeight="1" x14ac:dyDescent="0.35">
      <c r="A88" s="1" t="s">
        <v>1455</v>
      </c>
      <c r="B88" s="2" t="str">
        <f t="shared" si="3"/>
        <v>NO</v>
      </c>
      <c r="C88" s="390" t="s">
        <v>82</v>
      </c>
      <c r="D88" s="390" t="s">
        <v>770</v>
      </c>
      <c r="E88" s="1387" t="s">
        <v>83</v>
      </c>
      <c r="F88" s="1388"/>
      <c r="G88" s="1388"/>
      <c r="H88" s="1389"/>
      <c r="I88" s="423"/>
      <c r="J88" s="420"/>
      <c r="K88" s="420"/>
    </row>
    <row r="89" spans="1:11" ht="14.5" customHeight="1" x14ac:dyDescent="0.35">
      <c r="A89" s="1" t="s">
        <v>1455</v>
      </c>
      <c r="B89" s="2" t="str">
        <f t="shared" si="3"/>
        <v>NO</v>
      </c>
      <c r="C89" s="390" t="s">
        <v>84</v>
      </c>
      <c r="D89" s="390" t="s">
        <v>770</v>
      </c>
      <c r="E89" s="1387" t="s">
        <v>85</v>
      </c>
      <c r="F89" s="1388"/>
      <c r="G89" s="1388"/>
      <c r="H89" s="1389"/>
      <c r="I89" s="423"/>
      <c r="J89" s="420"/>
      <c r="K89" s="420"/>
    </row>
    <row r="90" spans="1:11" ht="14.5" customHeight="1" x14ac:dyDescent="0.35">
      <c r="A90" s="1" t="s">
        <v>1455</v>
      </c>
      <c r="B90" s="2" t="str">
        <f t="shared" si="3"/>
        <v>NO</v>
      </c>
      <c r="C90" s="390" t="s">
        <v>86</v>
      </c>
      <c r="D90" s="390" t="s">
        <v>770</v>
      </c>
      <c r="E90" s="1387" t="s">
        <v>87</v>
      </c>
      <c r="F90" s="1388"/>
      <c r="G90" s="1388"/>
      <c r="H90" s="1389"/>
      <c r="I90" s="423"/>
      <c r="J90" s="420"/>
      <c r="K90" s="420"/>
    </row>
    <row r="91" spans="1:11" ht="14.5" customHeight="1" x14ac:dyDescent="0.35">
      <c r="A91" s="1" t="s">
        <v>1455</v>
      </c>
      <c r="B91" s="2" t="str">
        <f t="shared" si="3"/>
        <v>NO</v>
      </c>
      <c r="C91" s="390" t="s">
        <v>88</v>
      </c>
      <c r="D91" s="390" t="s">
        <v>770</v>
      </c>
      <c r="E91" s="1387" t="s">
        <v>89</v>
      </c>
      <c r="F91" s="1388"/>
      <c r="G91" s="1388"/>
      <c r="H91" s="1389"/>
      <c r="I91" s="423"/>
      <c r="J91" s="420"/>
      <c r="K91" s="420"/>
    </row>
    <row r="92" spans="1:11" ht="14.5" customHeight="1" x14ac:dyDescent="0.35">
      <c r="A92" s="1" t="s">
        <v>1455</v>
      </c>
      <c r="B92" s="2" t="str">
        <f t="shared" si="3"/>
        <v>NO</v>
      </c>
      <c r="C92" s="390" t="s">
        <v>90</v>
      </c>
      <c r="D92" s="390" t="s">
        <v>770</v>
      </c>
      <c r="E92" s="1387" t="s">
        <v>91</v>
      </c>
      <c r="F92" s="1388"/>
      <c r="G92" s="1388"/>
      <c r="H92" s="1389"/>
      <c r="I92" s="423"/>
      <c r="J92" s="420"/>
      <c r="K92" s="420"/>
    </row>
    <row r="93" spans="1:11" ht="14.5" customHeight="1" x14ac:dyDescent="0.35">
      <c r="A93" s="1" t="s">
        <v>1455</v>
      </c>
      <c r="B93" s="2" t="str">
        <f t="shared" si="3"/>
        <v>SI</v>
      </c>
      <c r="C93" s="390" t="s">
        <v>1423</v>
      </c>
      <c r="D93" s="390" t="s">
        <v>770</v>
      </c>
      <c r="E93" s="1387" t="s">
        <v>92</v>
      </c>
      <c r="F93" s="1388"/>
      <c r="G93" s="1388"/>
      <c r="H93" s="1389"/>
      <c r="I93" s="423">
        <v>3</v>
      </c>
      <c r="J93" s="420">
        <v>1105</v>
      </c>
      <c r="K93" s="420">
        <v>22.1</v>
      </c>
    </row>
    <row r="94" spans="1:11" ht="14.5" customHeight="1" x14ac:dyDescent="0.35">
      <c r="A94" s="1" t="s">
        <v>1455</v>
      </c>
      <c r="B94" s="2" t="str">
        <f t="shared" si="3"/>
        <v>NO</v>
      </c>
      <c r="C94" s="390" t="s">
        <v>1424</v>
      </c>
      <c r="D94" s="390" t="s">
        <v>770</v>
      </c>
      <c r="E94" s="1387" t="s">
        <v>2381</v>
      </c>
      <c r="F94" s="1388"/>
      <c r="G94" s="1388"/>
      <c r="H94" s="1389"/>
      <c r="I94" s="423"/>
      <c r="J94" s="420"/>
      <c r="K94" s="420"/>
    </row>
    <row r="95" spans="1:11" ht="14.5" customHeight="1" x14ac:dyDescent="0.35">
      <c r="A95" s="1" t="s">
        <v>1455</v>
      </c>
      <c r="B95" s="2" t="str">
        <f t="shared" si="3"/>
        <v>NO</v>
      </c>
      <c r="C95" s="390" t="s">
        <v>1425</v>
      </c>
      <c r="D95" s="390" t="s">
        <v>770</v>
      </c>
      <c r="E95" s="1387" t="s">
        <v>93</v>
      </c>
      <c r="F95" s="1388"/>
      <c r="G95" s="1388"/>
      <c r="H95" s="1389"/>
      <c r="I95" s="423"/>
      <c r="J95" s="420"/>
      <c r="K95" s="420"/>
    </row>
    <row r="96" spans="1:11" ht="14.5" customHeight="1" x14ac:dyDescent="0.35">
      <c r="A96" s="1" t="s">
        <v>1455</v>
      </c>
      <c r="B96" s="2" t="str">
        <f t="shared" si="3"/>
        <v>SI</v>
      </c>
      <c r="C96" s="390" t="s">
        <v>1426</v>
      </c>
      <c r="D96" s="390" t="s">
        <v>770</v>
      </c>
      <c r="E96" s="1387" t="s">
        <v>94</v>
      </c>
      <c r="F96" s="1388"/>
      <c r="G96" s="1388"/>
      <c r="H96" s="1389"/>
      <c r="I96" s="423">
        <v>9</v>
      </c>
      <c r="J96" s="420">
        <v>30331.7</v>
      </c>
      <c r="K96" s="420">
        <v>303.32</v>
      </c>
    </row>
    <row r="97" spans="1:11" ht="14.5" customHeight="1" x14ac:dyDescent="0.35">
      <c r="A97" s="1" t="s">
        <v>1455</v>
      </c>
      <c r="B97" s="2" t="str">
        <f t="shared" si="3"/>
        <v>NO</v>
      </c>
      <c r="C97" s="390" t="s">
        <v>1427</v>
      </c>
      <c r="D97" s="390" t="s">
        <v>770</v>
      </c>
      <c r="E97" s="1387" t="s">
        <v>1122</v>
      </c>
      <c r="F97" s="1388"/>
      <c r="G97" s="1388"/>
      <c r="H97" s="1389"/>
      <c r="I97" s="423"/>
      <c r="J97" s="420"/>
      <c r="K97" s="420"/>
    </row>
    <row r="98" spans="1:11" ht="14.5" customHeight="1" x14ac:dyDescent="0.35">
      <c r="A98" s="1" t="s">
        <v>1455</v>
      </c>
      <c r="B98" s="2" t="str">
        <f t="shared" si="3"/>
        <v>SI</v>
      </c>
      <c r="C98" s="390" t="s">
        <v>1428</v>
      </c>
      <c r="D98" s="390" t="s">
        <v>770</v>
      </c>
      <c r="E98" s="1387" t="s">
        <v>95</v>
      </c>
      <c r="F98" s="1388"/>
      <c r="G98" s="1388"/>
      <c r="H98" s="1389"/>
      <c r="I98" s="423">
        <v>122</v>
      </c>
      <c r="J98" s="420">
        <v>87763.46</v>
      </c>
      <c r="K98" s="420">
        <v>1535.9</v>
      </c>
    </row>
    <row r="99" spans="1:11" ht="14.5" customHeight="1" x14ac:dyDescent="0.35">
      <c r="A99" s="1" t="s">
        <v>1455</v>
      </c>
      <c r="B99" s="2" t="str">
        <f t="shared" si="3"/>
        <v>NO</v>
      </c>
      <c r="C99" s="390" t="s">
        <v>96</v>
      </c>
      <c r="D99" s="390" t="s">
        <v>770</v>
      </c>
      <c r="E99" s="1387" t="s">
        <v>2326</v>
      </c>
      <c r="F99" s="1388"/>
      <c r="G99" s="1388"/>
      <c r="H99" s="1389"/>
      <c r="I99" s="423"/>
      <c r="J99" s="420"/>
      <c r="K99" s="420"/>
    </row>
    <row r="100" spans="1:11" ht="14.5" customHeight="1" x14ac:dyDescent="0.35">
      <c r="A100" s="1" t="s">
        <v>1455</v>
      </c>
      <c r="B100" s="2" t="str">
        <f t="shared" si="3"/>
        <v>NO</v>
      </c>
      <c r="C100" s="390" t="s">
        <v>1041</v>
      </c>
      <c r="D100" s="390" t="s">
        <v>770</v>
      </c>
      <c r="E100" s="1387" t="s">
        <v>1042</v>
      </c>
      <c r="F100" s="1388"/>
      <c r="G100" s="1388"/>
      <c r="H100" s="1389"/>
      <c r="I100" s="423"/>
      <c r="J100" s="420"/>
      <c r="K100" s="420"/>
    </row>
    <row r="101" spans="1:11" ht="14.5" customHeight="1" x14ac:dyDescent="0.35">
      <c r="A101" s="1" t="s">
        <v>1455</v>
      </c>
      <c r="B101" s="2" t="str">
        <f>IF(SUM(I101:K101)&gt;0,"SI","NO")</f>
        <v>NO</v>
      </c>
      <c r="C101" s="390" t="s">
        <v>2214</v>
      </c>
      <c r="D101" s="390" t="s">
        <v>770</v>
      </c>
      <c r="E101" s="1387" t="s">
        <v>2327</v>
      </c>
      <c r="F101" s="1388"/>
      <c r="G101" s="1388"/>
      <c r="H101" s="1389"/>
      <c r="I101" s="423"/>
      <c r="J101" s="420"/>
      <c r="K101" s="420"/>
    </row>
    <row r="102" spans="1:11" ht="14.5" customHeight="1" x14ac:dyDescent="0.35">
      <c r="A102" s="1" t="s">
        <v>1455</v>
      </c>
      <c r="B102" s="2" t="str">
        <f t="shared" si="3"/>
        <v>NO</v>
      </c>
      <c r="C102" s="390" t="s">
        <v>97</v>
      </c>
      <c r="D102" s="390" t="s">
        <v>770</v>
      </c>
      <c r="E102" s="1387" t="s">
        <v>2382</v>
      </c>
      <c r="F102" s="1388"/>
      <c r="G102" s="1388"/>
      <c r="H102" s="1389"/>
      <c r="I102" s="423"/>
      <c r="J102" s="420"/>
      <c r="K102" s="420"/>
    </row>
    <row r="103" spans="1:11" ht="14.5" customHeight="1" x14ac:dyDescent="0.35">
      <c r="A103" s="1" t="s">
        <v>1455</v>
      </c>
      <c r="B103" s="2" t="str">
        <f t="shared" si="3"/>
        <v>NO</v>
      </c>
      <c r="C103" s="390" t="s">
        <v>99</v>
      </c>
      <c r="D103" s="390" t="s">
        <v>770</v>
      </c>
      <c r="E103" s="1387" t="s">
        <v>2383</v>
      </c>
      <c r="F103" s="1388"/>
      <c r="G103" s="1388"/>
      <c r="H103" s="1389"/>
      <c r="I103" s="423"/>
      <c r="J103" s="420"/>
      <c r="K103" s="420"/>
    </row>
    <row r="104" spans="1:11" ht="14.5" customHeight="1" x14ac:dyDescent="0.35">
      <c r="A104" s="1" t="s">
        <v>1455</v>
      </c>
      <c r="B104" s="2" t="str">
        <f t="shared" si="3"/>
        <v>NO</v>
      </c>
      <c r="C104" s="390" t="s">
        <v>101</v>
      </c>
      <c r="D104" s="390" t="s">
        <v>770</v>
      </c>
      <c r="E104" s="1387" t="s">
        <v>2384</v>
      </c>
      <c r="F104" s="1388"/>
      <c r="G104" s="1388"/>
      <c r="H104" s="1389"/>
      <c r="I104" s="423"/>
      <c r="J104" s="420"/>
      <c r="K104" s="420"/>
    </row>
    <row r="105" spans="1:11" ht="14.5" customHeight="1" x14ac:dyDescent="0.35">
      <c r="A105" s="1" t="s">
        <v>1455</v>
      </c>
      <c r="B105" s="2" t="str">
        <f t="shared" si="3"/>
        <v>NO</v>
      </c>
      <c r="C105" s="390" t="s">
        <v>103</v>
      </c>
      <c r="D105" s="390" t="s">
        <v>770</v>
      </c>
      <c r="E105" s="1387" t="s">
        <v>2385</v>
      </c>
      <c r="F105" s="1388"/>
      <c r="G105" s="1388"/>
      <c r="H105" s="1389"/>
      <c r="I105" s="423"/>
      <c r="J105" s="420"/>
      <c r="K105" s="420"/>
    </row>
    <row r="106" spans="1:11" ht="14.5" customHeight="1" x14ac:dyDescent="0.35">
      <c r="A106" s="1" t="s">
        <v>1455</v>
      </c>
      <c r="B106" s="2" t="str">
        <f t="shared" si="3"/>
        <v>NO</v>
      </c>
      <c r="C106" s="390" t="s">
        <v>1429</v>
      </c>
      <c r="D106" s="390" t="s">
        <v>770</v>
      </c>
      <c r="E106" s="1387" t="s">
        <v>1123</v>
      </c>
      <c r="F106" s="1388"/>
      <c r="G106" s="1388"/>
      <c r="H106" s="1389"/>
      <c r="I106" s="423"/>
      <c r="J106" s="420"/>
      <c r="K106" s="420"/>
    </row>
    <row r="107" spans="1:11" ht="14.5" customHeight="1" x14ac:dyDescent="0.35">
      <c r="A107" s="1" t="s">
        <v>1455</v>
      </c>
      <c r="B107" s="2" t="str">
        <f t="shared" si="3"/>
        <v>NO</v>
      </c>
      <c r="C107" s="390" t="s">
        <v>1430</v>
      </c>
      <c r="D107" s="390" t="s">
        <v>770</v>
      </c>
      <c r="E107" s="1387" t="s">
        <v>1124</v>
      </c>
      <c r="F107" s="1388"/>
      <c r="G107" s="1388"/>
      <c r="H107" s="1389"/>
      <c r="I107" s="423"/>
      <c r="J107" s="420"/>
      <c r="K107" s="420"/>
    </row>
    <row r="108" spans="1:11" ht="14.5" customHeight="1" x14ac:dyDescent="0.35">
      <c r="A108" s="1" t="s">
        <v>1455</v>
      </c>
      <c r="B108" s="2" t="str">
        <f t="shared" si="3"/>
        <v>NO</v>
      </c>
      <c r="C108" s="390" t="s">
        <v>1431</v>
      </c>
      <c r="D108" s="390" t="s">
        <v>770</v>
      </c>
      <c r="E108" s="1387" t="s">
        <v>105</v>
      </c>
      <c r="F108" s="1388"/>
      <c r="G108" s="1388"/>
      <c r="H108" s="1389"/>
      <c r="I108" s="423"/>
      <c r="J108" s="420"/>
      <c r="K108" s="420"/>
    </row>
    <row r="109" spans="1:11" ht="14.5" customHeight="1" x14ac:dyDescent="0.35">
      <c r="A109" s="1" t="s">
        <v>1455</v>
      </c>
      <c r="B109" s="2" t="str">
        <f t="shared" si="3"/>
        <v>NO</v>
      </c>
      <c r="C109" s="390" t="s">
        <v>1405</v>
      </c>
      <c r="D109" s="390" t="s">
        <v>770</v>
      </c>
      <c r="E109" s="1387" t="s">
        <v>1125</v>
      </c>
      <c r="F109" s="1388"/>
      <c r="G109" s="1388"/>
      <c r="H109" s="1389"/>
      <c r="I109" s="423"/>
      <c r="J109" s="420"/>
      <c r="K109" s="420"/>
    </row>
    <row r="110" spans="1:11" ht="14.5" customHeight="1" x14ac:dyDescent="0.35">
      <c r="A110" s="1" t="s">
        <v>1455</v>
      </c>
      <c r="B110" s="2" t="str">
        <f t="shared" si="3"/>
        <v>NO</v>
      </c>
      <c r="C110" s="390" t="s">
        <v>107</v>
      </c>
      <c r="D110" s="390" t="s">
        <v>770</v>
      </c>
      <c r="E110" s="1387" t="s">
        <v>1126</v>
      </c>
      <c r="F110" s="1388"/>
      <c r="G110" s="1388"/>
      <c r="H110" s="1389"/>
      <c r="I110" s="423"/>
      <c r="J110" s="420"/>
      <c r="K110" s="420"/>
    </row>
    <row r="111" spans="1:11" ht="14.5" customHeight="1" x14ac:dyDescent="0.35">
      <c r="A111" s="1" t="s">
        <v>1455</v>
      </c>
      <c r="B111" s="2" t="str">
        <f t="shared" si="3"/>
        <v>NO</v>
      </c>
      <c r="C111" s="390" t="s">
        <v>109</v>
      </c>
      <c r="D111" s="390" t="s">
        <v>770</v>
      </c>
      <c r="E111" s="1387" t="s">
        <v>1127</v>
      </c>
      <c r="F111" s="1388"/>
      <c r="G111" s="1388"/>
      <c r="H111" s="1389"/>
      <c r="I111" s="423"/>
      <c r="J111" s="420"/>
      <c r="K111" s="420"/>
    </row>
    <row r="112" spans="1:11" ht="14.5" customHeight="1" x14ac:dyDescent="0.35">
      <c r="A112" s="1" t="s">
        <v>1455</v>
      </c>
      <c r="B112" s="2" t="str">
        <f t="shared" si="3"/>
        <v>NO</v>
      </c>
      <c r="C112" s="390" t="s">
        <v>111</v>
      </c>
      <c r="D112" s="390" t="s">
        <v>770</v>
      </c>
      <c r="E112" s="1387" t="s">
        <v>1128</v>
      </c>
      <c r="F112" s="1388"/>
      <c r="G112" s="1388"/>
      <c r="H112" s="1389"/>
      <c r="I112" s="423"/>
      <c r="J112" s="420"/>
      <c r="K112" s="420"/>
    </row>
    <row r="113" spans="1:11" ht="14.5" customHeight="1" x14ac:dyDescent="0.35">
      <c r="A113" s="1" t="s">
        <v>1455</v>
      </c>
      <c r="B113" s="2" t="str">
        <f t="shared" si="3"/>
        <v>NO</v>
      </c>
      <c r="C113" s="390" t="s">
        <v>113</v>
      </c>
      <c r="D113" s="390" t="s">
        <v>770</v>
      </c>
      <c r="E113" s="1387" t="s">
        <v>1129</v>
      </c>
      <c r="F113" s="1388"/>
      <c r="G113" s="1388"/>
      <c r="H113" s="1389"/>
      <c r="I113" s="423"/>
      <c r="J113" s="420"/>
      <c r="K113" s="420"/>
    </row>
    <row r="114" spans="1:11" ht="14.5" customHeight="1" x14ac:dyDescent="0.35">
      <c r="A114" s="1" t="s">
        <v>1455</v>
      </c>
      <c r="B114" s="2" t="str">
        <f t="shared" si="3"/>
        <v>NO</v>
      </c>
      <c r="C114" s="390" t="s">
        <v>115</v>
      </c>
      <c r="D114" s="390" t="s">
        <v>770</v>
      </c>
      <c r="E114" s="1387" t="s">
        <v>1130</v>
      </c>
      <c r="F114" s="1388"/>
      <c r="G114" s="1388"/>
      <c r="H114" s="1389"/>
      <c r="I114" s="423"/>
      <c r="J114" s="420"/>
      <c r="K114" s="420"/>
    </row>
    <row r="115" spans="1:11" ht="14.5" customHeight="1" x14ac:dyDescent="0.35">
      <c r="A115" s="1" t="s">
        <v>1455</v>
      </c>
      <c r="B115" s="2" t="str">
        <f t="shared" si="3"/>
        <v>NO</v>
      </c>
      <c r="C115" s="390" t="s">
        <v>117</v>
      </c>
      <c r="D115" s="390" t="s">
        <v>770</v>
      </c>
      <c r="E115" s="1387" t="s">
        <v>1131</v>
      </c>
      <c r="F115" s="1388"/>
      <c r="G115" s="1388"/>
      <c r="H115" s="1389"/>
      <c r="I115" s="423"/>
      <c r="J115" s="420"/>
      <c r="K115" s="420"/>
    </row>
    <row r="116" spans="1:11" ht="14.5" customHeight="1" x14ac:dyDescent="0.35">
      <c r="A116" s="1" t="s">
        <v>1455</v>
      </c>
      <c r="B116" s="2" t="str">
        <f t="shared" si="3"/>
        <v>NO</v>
      </c>
      <c r="C116" s="390" t="s">
        <v>119</v>
      </c>
      <c r="D116" s="390" t="s">
        <v>770</v>
      </c>
      <c r="E116" s="1387" t="s">
        <v>1132</v>
      </c>
      <c r="F116" s="1388"/>
      <c r="G116" s="1388"/>
      <c r="H116" s="1389"/>
      <c r="I116" s="423"/>
      <c r="J116" s="420"/>
      <c r="K116" s="420"/>
    </row>
    <row r="117" spans="1:11" ht="14.5" customHeight="1" x14ac:dyDescent="0.35">
      <c r="A117" s="1" t="s">
        <v>1455</v>
      </c>
      <c r="B117" s="2" t="str">
        <f t="shared" si="3"/>
        <v>NO</v>
      </c>
      <c r="C117" s="390" t="s">
        <v>121</v>
      </c>
      <c r="D117" s="390" t="s">
        <v>770</v>
      </c>
      <c r="E117" s="1387" t="s">
        <v>1133</v>
      </c>
      <c r="F117" s="1388"/>
      <c r="G117" s="1388"/>
      <c r="H117" s="1389"/>
      <c r="I117" s="423"/>
      <c r="J117" s="420"/>
      <c r="K117" s="420"/>
    </row>
    <row r="118" spans="1:11" ht="14.5" customHeight="1" x14ac:dyDescent="0.35">
      <c r="A118" s="1" t="s">
        <v>1455</v>
      </c>
      <c r="B118" s="2" t="str">
        <f t="shared" si="3"/>
        <v>NO</v>
      </c>
      <c r="C118" s="390" t="s">
        <v>123</v>
      </c>
      <c r="D118" s="390" t="s">
        <v>770</v>
      </c>
      <c r="E118" s="1387" t="s">
        <v>1134</v>
      </c>
      <c r="F118" s="1388"/>
      <c r="G118" s="1388"/>
      <c r="H118" s="1389"/>
      <c r="I118" s="423"/>
      <c r="J118" s="420"/>
      <c r="K118" s="420"/>
    </row>
    <row r="119" spans="1:11" ht="14.5" customHeight="1" x14ac:dyDescent="0.35">
      <c r="A119" s="1" t="s">
        <v>1455</v>
      </c>
      <c r="B119" s="2" t="str">
        <f t="shared" si="3"/>
        <v>NO</v>
      </c>
      <c r="C119" s="390" t="s">
        <v>125</v>
      </c>
      <c r="D119" s="390" t="s">
        <v>770</v>
      </c>
      <c r="E119" s="1387" t="s">
        <v>1135</v>
      </c>
      <c r="F119" s="1388"/>
      <c r="G119" s="1388"/>
      <c r="H119" s="1389"/>
      <c r="I119" s="423"/>
      <c r="J119" s="420"/>
      <c r="K119" s="420"/>
    </row>
    <row r="120" spans="1:11" ht="14.5" customHeight="1" x14ac:dyDescent="0.35">
      <c r="A120" s="1" t="s">
        <v>1455</v>
      </c>
      <c r="B120" s="2" t="str">
        <f t="shared" si="3"/>
        <v>NO</v>
      </c>
      <c r="C120" s="390" t="s">
        <v>127</v>
      </c>
      <c r="D120" s="390" t="s">
        <v>770</v>
      </c>
      <c r="E120" s="1387" t="s">
        <v>1136</v>
      </c>
      <c r="F120" s="1388"/>
      <c r="G120" s="1388"/>
      <c r="H120" s="1389"/>
      <c r="I120" s="423"/>
      <c r="J120" s="420"/>
      <c r="K120" s="420"/>
    </row>
    <row r="121" spans="1:11" ht="14.5" customHeight="1" x14ac:dyDescent="0.35">
      <c r="A121" s="1" t="s">
        <v>1455</v>
      </c>
      <c r="B121" s="2" t="str">
        <f t="shared" si="3"/>
        <v>NO</v>
      </c>
      <c r="C121" s="390" t="s">
        <v>129</v>
      </c>
      <c r="D121" s="390" t="s">
        <v>770</v>
      </c>
      <c r="E121" s="1387" t="s">
        <v>1137</v>
      </c>
      <c r="F121" s="1388"/>
      <c r="G121" s="1388"/>
      <c r="H121" s="1389"/>
      <c r="I121" s="423"/>
      <c r="J121" s="420"/>
      <c r="K121" s="420"/>
    </row>
    <row r="122" spans="1:11" ht="14.5" customHeight="1" x14ac:dyDescent="0.35">
      <c r="A122" s="1" t="s">
        <v>1455</v>
      </c>
      <c r="B122" s="2" t="str">
        <f t="shared" si="3"/>
        <v>NO</v>
      </c>
      <c r="C122" s="390" t="s">
        <v>131</v>
      </c>
      <c r="D122" s="390" t="s">
        <v>770</v>
      </c>
      <c r="E122" s="1387" t="s">
        <v>1138</v>
      </c>
      <c r="F122" s="1388"/>
      <c r="G122" s="1388"/>
      <c r="H122" s="1389"/>
      <c r="I122" s="423"/>
      <c r="J122" s="420"/>
      <c r="K122" s="420"/>
    </row>
    <row r="123" spans="1:11" ht="14.5" customHeight="1" x14ac:dyDescent="0.35">
      <c r="A123" s="1" t="s">
        <v>1455</v>
      </c>
      <c r="B123" s="2" t="str">
        <f t="shared" si="3"/>
        <v>NO</v>
      </c>
      <c r="C123" s="390" t="s">
        <v>133</v>
      </c>
      <c r="D123" s="390" t="s">
        <v>770</v>
      </c>
      <c r="E123" s="1387" t="s">
        <v>1139</v>
      </c>
      <c r="F123" s="1388"/>
      <c r="G123" s="1388"/>
      <c r="H123" s="1389"/>
      <c r="I123" s="423"/>
      <c r="J123" s="420"/>
      <c r="K123" s="420"/>
    </row>
    <row r="124" spans="1:11" ht="14.5" customHeight="1" x14ac:dyDescent="0.35">
      <c r="A124" s="1" t="s">
        <v>1455</v>
      </c>
      <c r="B124" s="2" t="str">
        <f t="shared" si="3"/>
        <v>NO</v>
      </c>
      <c r="C124" s="390" t="s">
        <v>1043</v>
      </c>
      <c r="D124" s="390" t="s">
        <v>770</v>
      </c>
      <c r="E124" s="1387" t="s">
        <v>1044</v>
      </c>
      <c r="F124" s="1388"/>
      <c r="G124" s="1388"/>
      <c r="H124" s="1389"/>
      <c r="I124" s="423"/>
      <c r="J124" s="420"/>
      <c r="K124" s="420"/>
    </row>
    <row r="125" spans="1:11" ht="14.5" customHeight="1" x14ac:dyDescent="0.35">
      <c r="A125" s="1" t="s">
        <v>1455</v>
      </c>
      <c r="B125" s="2" t="str">
        <f t="shared" si="3"/>
        <v>NO</v>
      </c>
      <c r="C125" s="390" t="s">
        <v>1045</v>
      </c>
      <c r="D125" s="390" t="s">
        <v>770</v>
      </c>
      <c r="E125" s="1387" t="s">
        <v>1046</v>
      </c>
      <c r="F125" s="1388"/>
      <c r="G125" s="1388"/>
      <c r="H125" s="1389"/>
      <c r="I125" s="423"/>
      <c r="J125" s="420"/>
      <c r="K125" s="420"/>
    </row>
    <row r="126" spans="1:11" ht="14.5" customHeight="1" x14ac:dyDescent="0.35">
      <c r="A126" s="1" t="s">
        <v>1455</v>
      </c>
      <c r="B126" s="2" t="str">
        <f t="shared" si="3"/>
        <v>NO</v>
      </c>
      <c r="C126" s="390" t="s">
        <v>1047</v>
      </c>
      <c r="D126" s="390" t="s">
        <v>770</v>
      </c>
      <c r="E126" s="1387" t="s">
        <v>1048</v>
      </c>
      <c r="F126" s="1388"/>
      <c r="G126" s="1388"/>
      <c r="H126" s="1389"/>
      <c r="I126" s="423"/>
      <c r="J126" s="420"/>
      <c r="K126" s="420"/>
    </row>
    <row r="127" spans="1:11" ht="14.5" customHeight="1" x14ac:dyDescent="0.35">
      <c r="A127" s="1" t="s">
        <v>1455</v>
      </c>
      <c r="B127" s="2" t="str">
        <f t="shared" si="3"/>
        <v>NO</v>
      </c>
      <c r="C127" s="390" t="s">
        <v>135</v>
      </c>
      <c r="D127" s="390" t="s">
        <v>770</v>
      </c>
      <c r="E127" s="1387" t="s">
        <v>1140</v>
      </c>
      <c r="F127" s="1388"/>
      <c r="G127" s="1388"/>
      <c r="H127" s="1389"/>
      <c r="I127" s="423"/>
      <c r="J127" s="420"/>
      <c r="K127" s="420"/>
    </row>
    <row r="128" spans="1:11" ht="14.5" customHeight="1" x14ac:dyDescent="0.35">
      <c r="A128" s="1" t="s">
        <v>1455</v>
      </c>
      <c r="B128" s="2" t="str">
        <f t="shared" si="3"/>
        <v>NO</v>
      </c>
      <c r="C128" s="390" t="s">
        <v>137</v>
      </c>
      <c r="D128" s="390" t="s">
        <v>770</v>
      </c>
      <c r="E128" s="1387" t="s">
        <v>1141</v>
      </c>
      <c r="F128" s="1388"/>
      <c r="G128" s="1388"/>
      <c r="H128" s="1389"/>
      <c r="I128" s="423"/>
      <c r="J128" s="420"/>
      <c r="K128" s="420"/>
    </row>
    <row r="129" spans="1:11" ht="14.5" customHeight="1" x14ac:dyDescent="0.35">
      <c r="A129" s="1" t="s">
        <v>1455</v>
      </c>
      <c r="B129" s="2" t="str">
        <f t="shared" si="3"/>
        <v>NO</v>
      </c>
      <c r="C129" s="390" t="s">
        <v>1049</v>
      </c>
      <c r="D129" s="390" t="s">
        <v>770</v>
      </c>
      <c r="E129" s="1387" t="s">
        <v>1050</v>
      </c>
      <c r="F129" s="1388"/>
      <c r="G129" s="1388"/>
      <c r="H129" s="1389"/>
      <c r="I129" s="423"/>
      <c r="J129" s="420"/>
      <c r="K129" s="420"/>
    </row>
    <row r="130" spans="1:11" ht="14.5" customHeight="1" x14ac:dyDescent="0.35">
      <c r="A130" s="1" t="s">
        <v>1455</v>
      </c>
      <c r="B130" s="2" t="str">
        <f t="shared" si="3"/>
        <v>NO</v>
      </c>
      <c r="C130" s="390" t="s">
        <v>1432</v>
      </c>
      <c r="D130" s="390" t="s">
        <v>770</v>
      </c>
      <c r="E130" s="1387" t="s">
        <v>139</v>
      </c>
      <c r="F130" s="1388"/>
      <c r="G130" s="1388"/>
      <c r="H130" s="1389"/>
      <c r="I130" s="423"/>
      <c r="J130" s="420"/>
      <c r="K130" s="420"/>
    </row>
    <row r="131" spans="1:11" ht="14.5" customHeight="1" x14ac:dyDescent="0.35">
      <c r="A131" s="1" t="s">
        <v>1455</v>
      </c>
      <c r="B131" s="2" t="str">
        <f t="shared" si="3"/>
        <v>NO</v>
      </c>
      <c r="C131" s="390" t="s">
        <v>140</v>
      </c>
      <c r="D131" s="390" t="s">
        <v>770</v>
      </c>
      <c r="E131" s="1387" t="s">
        <v>2386</v>
      </c>
      <c r="F131" s="1388"/>
      <c r="G131" s="1388"/>
      <c r="H131" s="1389"/>
      <c r="I131" s="423"/>
      <c r="J131" s="420"/>
      <c r="K131" s="420"/>
    </row>
    <row r="132" spans="1:11" ht="14.5" customHeight="1" x14ac:dyDescent="0.35">
      <c r="A132" s="1" t="s">
        <v>1455</v>
      </c>
      <c r="B132" s="2" t="str">
        <f>IF(SUM(I132:K132)&gt;0,"SI","NO")</f>
        <v>NO</v>
      </c>
      <c r="C132" s="390" t="s">
        <v>2439</v>
      </c>
      <c r="D132" s="390" t="s">
        <v>770</v>
      </c>
      <c r="E132" s="1387" t="s">
        <v>2325</v>
      </c>
      <c r="F132" s="1388"/>
      <c r="G132" s="1388"/>
      <c r="H132" s="1389"/>
      <c r="I132" s="423"/>
      <c r="J132" s="420"/>
      <c r="K132" s="420"/>
    </row>
    <row r="133" spans="1:11" ht="14.5" customHeight="1" x14ac:dyDescent="0.35">
      <c r="A133" s="1" t="s">
        <v>1455</v>
      </c>
      <c r="B133" s="2" t="str">
        <f t="shared" si="3"/>
        <v>NO</v>
      </c>
      <c r="C133" s="390" t="s">
        <v>1433</v>
      </c>
      <c r="D133" s="390" t="s">
        <v>770</v>
      </c>
      <c r="E133" s="1387" t="s">
        <v>2387</v>
      </c>
      <c r="F133" s="1388"/>
      <c r="G133" s="1388"/>
      <c r="H133" s="1389"/>
      <c r="I133" s="423"/>
      <c r="J133" s="420"/>
      <c r="K133" s="420"/>
    </row>
    <row r="134" spans="1:11" ht="14.5" customHeight="1" x14ac:dyDescent="0.35">
      <c r="A134" s="1" t="s">
        <v>1455</v>
      </c>
      <c r="B134" s="2" t="str">
        <f t="shared" si="3"/>
        <v>NO</v>
      </c>
      <c r="C134" s="390" t="s">
        <v>1434</v>
      </c>
      <c r="D134" s="390" t="s">
        <v>770</v>
      </c>
      <c r="E134" s="1387" t="s">
        <v>2388</v>
      </c>
      <c r="F134" s="1388"/>
      <c r="G134" s="1388"/>
      <c r="H134" s="1389"/>
      <c r="I134" s="423"/>
      <c r="J134" s="420"/>
      <c r="K134" s="420"/>
    </row>
    <row r="135" spans="1:11" ht="14.5" customHeight="1" x14ac:dyDescent="0.35">
      <c r="A135" s="1" t="s">
        <v>1455</v>
      </c>
      <c r="B135" s="2" t="str">
        <f t="shared" si="3"/>
        <v>NO</v>
      </c>
      <c r="C135" s="390" t="s">
        <v>1435</v>
      </c>
      <c r="D135" s="390" t="s">
        <v>770</v>
      </c>
      <c r="E135" s="1387" t="s">
        <v>142</v>
      </c>
      <c r="F135" s="1388"/>
      <c r="G135" s="1388"/>
      <c r="H135" s="1389"/>
      <c r="I135" s="423"/>
      <c r="J135" s="420"/>
      <c r="K135" s="420"/>
    </row>
    <row r="136" spans="1:11" ht="14.5" customHeight="1" x14ac:dyDescent="0.35">
      <c r="A136" s="1" t="s">
        <v>1455</v>
      </c>
      <c r="B136" s="2" t="str">
        <f t="shared" si="3"/>
        <v>NO</v>
      </c>
      <c r="C136" s="390" t="s">
        <v>1436</v>
      </c>
      <c r="D136" s="390" t="s">
        <v>770</v>
      </c>
      <c r="E136" s="1387" t="s">
        <v>143</v>
      </c>
      <c r="F136" s="1388"/>
      <c r="G136" s="1388"/>
      <c r="H136" s="1389"/>
      <c r="I136" s="423"/>
      <c r="J136" s="420"/>
      <c r="K136" s="420"/>
    </row>
    <row r="137" spans="1:11" ht="14.5" customHeight="1" x14ac:dyDescent="0.35">
      <c r="A137" s="1" t="s">
        <v>1455</v>
      </c>
      <c r="B137" s="2" t="str">
        <f t="shared" si="3"/>
        <v>NO</v>
      </c>
      <c r="C137" s="390" t="s">
        <v>1437</v>
      </c>
      <c r="D137" s="390" t="s">
        <v>770</v>
      </c>
      <c r="E137" s="1387" t="s">
        <v>1163</v>
      </c>
      <c r="F137" s="1388"/>
      <c r="G137" s="1388"/>
      <c r="H137" s="1389"/>
      <c r="I137" s="423"/>
      <c r="J137" s="420"/>
      <c r="K137" s="420"/>
    </row>
    <row r="138" spans="1:11" ht="14.5" customHeight="1" x14ac:dyDescent="0.35">
      <c r="A138" s="1" t="s">
        <v>1455</v>
      </c>
      <c r="B138" s="2" t="str">
        <f t="shared" si="3"/>
        <v>SI</v>
      </c>
      <c r="C138" s="390" t="s">
        <v>1438</v>
      </c>
      <c r="D138" s="390" t="s">
        <v>770</v>
      </c>
      <c r="E138" s="1387" t="s">
        <v>2389</v>
      </c>
      <c r="F138" s="1388"/>
      <c r="G138" s="1388"/>
      <c r="H138" s="1389"/>
      <c r="I138" s="423">
        <v>52</v>
      </c>
      <c r="J138" s="420">
        <v>32078.95</v>
      </c>
      <c r="K138" s="420">
        <v>0</v>
      </c>
    </row>
    <row r="139" spans="1:11" ht="14.5" customHeight="1" x14ac:dyDescent="0.35">
      <c r="A139" s="1" t="s">
        <v>1455</v>
      </c>
      <c r="B139" s="2" t="str">
        <f t="shared" si="3"/>
        <v>NO</v>
      </c>
      <c r="C139" s="390" t="s">
        <v>145</v>
      </c>
      <c r="D139" s="390" t="s">
        <v>770</v>
      </c>
      <c r="E139" s="1387" t="s">
        <v>146</v>
      </c>
      <c r="F139" s="1388"/>
      <c r="G139" s="1388"/>
      <c r="H139" s="1389"/>
      <c r="I139" s="423"/>
      <c r="J139" s="420"/>
      <c r="K139" s="420"/>
    </row>
    <row r="140" spans="1:11" ht="14.5" customHeight="1" x14ac:dyDescent="0.35">
      <c r="A140" s="1" t="s">
        <v>1455</v>
      </c>
      <c r="B140" s="2" t="str">
        <f t="shared" si="3"/>
        <v>NO</v>
      </c>
      <c r="C140" s="390" t="s">
        <v>147</v>
      </c>
      <c r="D140" s="390" t="s">
        <v>770</v>
      </c>
      <c r="E140" s="1387" t="s">
        <v>148</v>
      </c>
      <c r="F140" s="1388"/>
      <c r="G140" s="1388"/>
      <c r="H140" s="1389"/>
      <c r="I140" s="423"/>
      <c r="J140" s="420"/>
      <c r="K140" s="420"/>
    </row>
    <row r="141" spans="1:11" ht="14.5" customHeight="1" x14ac:dyDescent="0.35">
      <c r="A141" s="1" t="s">
        <v>1455</v>
      </c>
      <c r="B141" s="2" t="str">
        <f t="shared" si="3"/>
        <v>NO</v>
      </c>
      <c r="C141" s="390" t="s">
        <v>149</v>
      </c>
      <c r="D141" s="390" t="s">
        <v>770</v>
      </c>
      <c r="E141" s="1387" t="s">
        <v>150</v>
      </c>
      <c r="F141" s="1388"/>
      <c r="G141" s="1388"/>
      <c r="H141" s="1389"/>
      <c r="I141" s="423"/>
      <c r="J141" s="420"/>
      <c r="K141" s="420"/>
    </row>
    <row r="142" spans="1:11" ht="14.5" customHeight="1" x14ac:dyDescent="0.35">
      <c r="A142" s="1" t="s">
        <v>1455</v>
      </c>
      <c r="B142" s="2" t="str">
        <f t="shared" si="3"/>
        <v>NO</v>
      </c>
      <c r="C142" s="390" t="s">
        <v>151</v>
      </c>
      <c r="D142" s="390" t="s">
        <v>770</v>
      </c>
      <c r="E142" s="1387" t="s">
        <v>152</v>
      </c>
      <c r="F142" s="1388"/>
      <c r="G142" s="1388"/>
      <c r="H142" s="1389"/>
      <c r="I142" s="423"/>
      <c r="J142" s="420"/>
      <c r="K142" s="420"/>
    </row>
    <row r="143" spans="1:11" ht="14.5" customHeight="1" x14ac:dyDescent="0.35">
      <c r="A143" s="1" t="s">
        <v>1455</v>
      </c>
      <c r="B143" s="2" t="str">
        <f t="shared" si="3"/>
        <v>NO</v>
      </c>
      <c r="C143" s="390" t="s">
        <v>153</v>
      </c>
      <c r="D143" s="390" t="s">
        <v>770</v>
      </c>
      <c r="E143" s="1387" t="s">
        <v>154</v>
      </c>
      <c r="F143" s="1388"/>
      <c r="G143" s="1388"/>
      <c r="H143" s="1389"/>
      <c r="I143" s="423"/>
      <c r="J143" s="420"/>
      <c r="K143" s="420"/>
    </row>
    <row r="144" spans="1:11" ht="14.5" customHeight="1" x14ac:dyDescent="0.35">
      <c r="A144" s="1" t="s">
        <v>1455</v>
      </c>
      <c r="B144" s="2" t="str">
        <f t="shared" si="3"/>
        <v>NO</v>
      </c>
      <c r="C144" s="390" t="s">
        <v>155</v>
      </c>
      <c r="D144" s="390" t="s">
        <v>770</v>
      </c>
      <c r="E144" s="1387" t="s">
        <v>156</v>
      </c>
      <c r="F144" s="1388"/>
      <c r="G144" s="1388"/>
      <c r="H144" s="1389"/>
      <c r="I144" s="423"/>
      <c r="J144" s="420"/>
      <c r="K144" s="420"/>
    </row>
    <row r="145" spans="1:11" ht="14.5" customHeight="1" x14ac:dyDescent="0.35">
      <c r="A145" s="1" t="s">
        <v>1455</v>
      </c>
      <c r="B145" s="2" t="str">
        <f t="shared" si="3"/>
        <v>NO</v>
      </c>
      <c r="C145" s="390" t="s">
        <v>157</v>
      </c>
      <c r="D145" s="390" t="s">
        <v>770</v>
      </c>
      <c r="E145" s="1387" t="s">
        <v>158</v>
      </c>
      <c r="F145" s="1388"/>
      <c r="G145" s="1388"/>
      <c r="H145" s="1389"/>
      <c r="I145" s="423"/>
      <c r="J145" s="420"/>
      <c r="K145" s="420"/>
    </row>
    <row r="146" spans="1:11" ht="14.5" customHeight="1" x14ac:dyDescent="0.35">
      <c r="A146" s="1" t="s">
        <v>1455</v>
      </c>
      <c r="B146" s="2" t="str">
        <f t="shared" si="3"/>
        <v>NO</v>
      </c>
      <c r="C146" s="390" t="s">
        <v>159</v>
      </c>
      <c r="D146" s="390" t="s">
        <v>770</v>
      </c>
      <c r="E146" s="1387" t="s">
        <v>160</v>
      </c>
      <c r="F146" s="1388"/>
      <c r="G146" s="1388"/>
      <c r="H146" s="1389"/>
      <c r="I146" s="423"/>
      <c r="J146" s="420"/>
      <c r="K146" s="420"/>
    </row>
    <row r="147" spans="1:11" ht="14.5" customHeight="1" x14ac:dyDescent="0.35">
      <c r="A147" s="1" t="s">
        <v>1455</v>
      </c>
      <c r="B147" s="2" t="str">
        <f t="shared" si="3"/>
        <v>NO</v>
      </c>
      <c r="C147" s="390" t="s">
        <v>1439</v>
      </c>
      <c r="D147" s="390" t="s">
        <v>770</v>
      </c>
      <c r="E147" s="1387" t="s">
        <v>1142</v>
      </c>
      <c r="F147" s="1388"/>
      <c r="G147" s="1388"/>
      <c r="H147" s="1389"/>
      <c r="I147" s="423"/>
      <c r="J147" s="420"/>
      <c r="K147" s="420"/>
    </row>
    <row r="148" spans="1:11" ht="14.5" customHeight="1" x14ac:dyDescent="0.35">
      <c r="A148" s="1" t="s">
        <v>1455</v>
      </c>
      <c r="B148" s="2" t="str">
        <f t="shared" si="3"/>
        <v>NO</v>
      </c>
      <c r="C148" s="390" t="s">
        <v>1440</v>
      </c>
      <c r="D148" s="390" t="s">
        <v>770</v>
      </c>
      <c r="E148" s="1387" t="s">
        <v>1143</v>
      </c>
      <c r="F148" s="1388"/>
      <c r="G148" s="1388"/>
      <c r="H148" s="1389"/>
      <c r="I148" s="423"/>
      <c r="J148" s="420"/>
      <c r="K148" s="420"/>
    </row>
    <row r="149" spans="1:11" ht="14.5" customHeight="1" x14ac:dyDescent="0.35">
      <c r="A149" s="1" t="s">
        <v>1455</v>
      </c>
      <c r="B149" s="2" t="str">
        <f t="shared" si="3"/>
        <v>NO</v>
      </c>
      <c r="C149" s="390" t="s">
        <v>1441</v>
      </c>
      <c r="D149" s="390" t="s">
        <v>770</v>
      </c>
      <c r="E149" s="1387" t="s">
        <v>2390</v>
      </c>
      <c r="F149" s="1388"/>
      <c r="G149" s="1388"/>
      <c r="H149" s="1389"/>
      <c r="I149" s="423"/>
      <c r="J149" s="420"/>
      <c r="K149" s="420"/>
    </row>
    <row r="150" spans="1:11" ht="14.5" customHeight="1" x14ac:dyDescent="0.35">
      <c r="A150" s="1" t="s">
        <v>1455</v>
      </c>
      <c r="B150" s="2" t="str">
        <f t="shared" ref="B150:B212" si="4">IF(SUM(I150:K150)&gt;0,"SI","NO")</f>
        <v>NO</v>
      </c>
      <c r="C150" s="390" t="s">
        <v>1442</v>
      </c>
      <c r="D150" s="390" t="s">
        <v>770</v>
      </c>
      <c r="E150" s="1387" t="s">
        <v>1144</v>
      </c>
      <c r="F150" s="1388"/>
      <c r="G150" s="1388"/>
      <c r="H150" s="1389"/>
      <c r="I150" s="423"/>
      <c r="J150" s="420"/>
      <c r="K150" s="420"/>
    </row>
    <row r="151" spans="1:11" ht="14.5" customHeight="1" x14ac:dyDescent="0.35">
      <c r="A151" s="1" t="s">
        <v>1455</v>
      </c>
      <c r="B151" s="2" t="str">
        <f t="shared" si="4"/>
        <v>NO</v>
      </c>
      <c r="C151" s="390" t="s">
        <v>1443</v>
      </c>
      <c r="D151" s="390" t="s">
        <v>770</v>
      </c>
      <c r="E151" s="1387" t="s">
        <v>1145</v>
      </c>
      <c r="F151" s="1388"/>
      <c r="G151" s="1388"/>
      <c r="H151" s="1389"/>
      <c r="I151" s="423"/>
      <c r="J151" s="420"/>
      <c r="K151" s="420"/>
    </row>
    <row r="152" spans="1:11" ht="14.5" customHeight="1" x14ac:dyDescent="0.35">
      <c r="A152" s="1" t="s">
        <v>1455</v>
      </c>
      <c r="B152" s="2" t="str">
        <f t="shared" si="4"/>
        <v>NO</v>
      </c>
      <c r="C152" s="390" t="s">
        <v>1444</v>
      </c>
      <c r="D152" s="390" t="s">
        <v>770</v>
      </c>
      <c r="E152" s="1387" t="s">
        <v>2391</v>
      </c>
      <c r="F152" s="1388"/>
      <c r="G152" s="1388"/>
      <c r="H152" s="1389"/>
      <c r="I152" s="423"/>
      <c r="J152" s="420"/>
      <c r="K152" s="420"/>
    </row>
    <row r="153" spans="1:11" ht="14.5" customHeight="1" x14ac:dyDescent="0.35">
      <c r="A153" s="1" t="s">
        <v>1455</v>
      </c>
      <c r="B153" s="2" t="str">
        <f t="shared" si="4"/>
        <v>NO</v>
      </c>
      <c r="C153" s="390" t="s">
        <v>1445</v>
      </c>
      <c r="D153" s="390" t="s">
        <v>770</v>
      </c>
      <c r="E153" s="1387" t="s">
        <v>161</v>
      </c>
      <c r="F153" s="1388"/>
      <c r="G153" s="1388"/>
      <c r="H153" s="1389"/>
      <c r="I153" s="423"/>
      <c r="J153" s="420"/>
      <c r="K153" s="420"/>
    </row>
    <row r="154" spans="1:11" ht="14.5" customHeight="1" x14ac:dyDescent="0.35">
      <c r="A154" s="1" t="s">
        <v>1455</v>
      </c>
      <c r="B154" s="2" t="str">
        <f t="shared" si="4"/>
        <v>NO</v>
      </c>
      <c r="C154" s="390" t="s">
        <v>1446</v>
      </c>
      <c r="D154" s="390" t="s">
        <v>770</v>
      </c>
      <c r="E154" s="1387" t="s">
        <v>162</v>
      </c>
      <c r="F154" s="1388"/>
      <c r="G154" s="1388"/>
      <c r="H154" s="1389"/>
      <c r="I154" s="423"/>
      <c r="J154" s="420"/>
      <c r="K154" s="420"/>
    </row>
    <row r="155" spans="1:11" ht="14.5" customHeight="1" x14ac:dyDescent="0.35">
      <c r="A155" s="1" t="s">
        <v>1455</v>
      </c>
      <c r="B155" s="2" t="str">
        <f t="shared" si="4"/>
        <v>NO</v>
      </c>
      <c r="C155" s="390" t="s">
        <v>1447</v>
      </c>
      <c r="D155" s="390" t="s">
        <v>770</v>
      </c>
      <c r="E155" s="1387" t="s">
        <v>163</v>
      </c>
      <c r="F155" s="1388"/>
      <c r="G155" s="1388"/>
      <c r="H155" s="1389"/>
      <c r="I155" s="423"/>
      <c r="J155" s="420"/>
      <c r="K155" s="420"/>
    </row>
    <row r="156" spans="1:11" ht="14.5" customHeight="1" x14ac:dyDescent="0.35">
      <c r="A156" s="1" t="s">
        <v>1455</v>
      </c>
      <c r="B156" s="2" t="str">
        <f t="shared" si="4"/>
        <v>NO</v>
      </c>
      <c r="C156" s="390" t="s">
        <v>1448</v>
      </c>
      <c r="D156" s="390" t="s">
        <v>770</v>
      </c>
      <c r="E156" s="1387" t="s">
        <v>164</v>
      </c>
      <c r="F156" s="1388"/>
      <c r="G156" s="1388"/>
      <c r="H156" s="1389"/>
      <c r="I156" s="423"/>
      <c r="J156" s="420"/>
      <c r="K156" s="420"/>
    </row>
    <row r="157" spans="1:11" ht="14.5" customHeight="1" x14ac:dyDescent="0.35">
      <c r="A157" s="1" t="s">
        <v>1455</v>
      </c>
      <c r="B157" s="2" t="str">
        <f t="shared" si="4"/>
        <v>SI</v>
      </c>
      <c r="C157" s="390" t="s">
        <v>1449</v>
      </c>
      <c r="D157" s="390" t="s">
        <v>770</v>
      </c>
      <c r="E157" s="1387" t="s">
        <v>2392</v>
      </c>
      <c r="F157" s="1388"/>
      <c r="G157" s="1388"/>
      <c r="H157" s="1389"/>
      <c r="I157" s="423">
        <v>3</v>
      </c>
      <c r="J157" s="420">
        <v>1810.47</v>
      </c>
      <c r="K157" s="420">
        <v>18.100000000000001</v>
      </c>
    </row>
    <row r="158" spans="1:11" ht="14.5" customHeight="1" x14ac:dyDescent="0.35">
      <c r="A158" s="1" t="s">
        <v>1455</v>
      </c>
      <c r="B158" s="2" t="str">
        <f t="shared" si="4"/>
        <v>NO</v>
      </c>
      <c r="C158" s="390" t="s">
        <v>165</v>
      </c>
      <c r="D158" s="390" t="s">
        <v>770</v>
      </c>
      <c r="E158" s="1387" t="s">
        <v>1146</v>
      </c>
      <c r="F158" s="1388"/>
      <c r="G158" s="1388"/>
      <c r="H158" s="1389"/>
      <c r="I158" s="423"/>
      <c r="J158" s="420"/>
      <c r="K158" s="420"/>
    </row>
    <row r="159" spans="1:11" ht="14.5" customHeight="1" x14ac:dyDescent="0.35">
      <c r="A159" s="1" t="s">
        <v>1455</v>
      </c>
      <c r="B159" s="2" t="str">
        <f t="shared" si="4"/>
        <v>SI</v>
      </c>
      <c r="C159" s="390" t="s">
        <v>167</v>
      </c>
      <c r="D159" s="390" t="s">
        <v>770</v>
      </c>
      <c r="E159" s="1387" t="s">
        <v>1147</v>
      </c>
      <c r="F159" s="1388"/>
      <c r="G159" s="1388"/>
      <c r="H159" s="1389"/>
      <c r="I159" s="423">
        <v>2</v>
      </c>
      <c r="J159" s="420">
        <v>610.67999999999995</v>
      </c>
      <c r="K159" s="420">
        <v>10.68</v>
      </c>
    </row>
    <row r="160" spans="1:11" ht="14.5" customHeight="1" x14ac:dyDescent="0.35">
      <c r="A160" s="1" t="s">
        <v>1455</v>
      </c>
      <c r="B160" s="2" t="str">
        <f t="shared" si="4"/>
        <v>NO</v>
      </c>
      <c r="C160" s="390" t="s">
        <v>1052</v>
      </c>
      <c r="D160" s="390" t="s">
        <v>770</v>
      </c>
      <c r="E160" s="1387" t="s">
        <v>2393</v>
      </c>
      <c r="F160" s="1388"/>
      <c r="G160" s="1388"/>
      <c r="H160" s="1389"/>
      <c r="I160" s="423"/>
      <c r="J160" s="420"/>
      <c r="K160" s="420"/>
    </row>
    <row r="161" spans="1:11" ht="14.5" customHeight="1" x14ac:dyDescent="0.35">
      <c r="A161" s="1" t="s">
        <v>1455</v>
      </c>
      <c r="B161" s="2" t="str">
        <f t="shared" si="4"/>
        <v>NO</v>
      </c>
      <c r="C161" s="390" t="s">
        <v>1400</v>
      </c>
      <c r="D161" s="390" t="s">
        <v>770</v>
      </c>
      <c r="E161" s="1387" t="s">
        <v>169</v>
      </c>
      <c r="F161" s="1388"/>
      <c r="G161" s="1388"/>
      <c r="H161" s="1389"/>
      <c r="I161" s="423"/>
      <c r="J161" s="420"/>
      <c r="K161" s="420"/>
    </row>
    <row r="162" spans="1:11" ht="14.5" customHeight="1" x14ac:dyDescent="0.35">
      <c r="A162" s="1" t="s">
        <v>1455</v>
      </c>
      <c r="B162" s="2" t="str">
        <f t="shared" si="4"/>
        <v>NO</v>
      </c>
      <c r="C162" s="390" t="s">
        <v>170</v>
      </c>
      <c r="D162" s="390" t="s">
        <v>770</v>
      </c>
      <c r="E162" s="1387" t="s">
        <v>1148</v>
      </c>
      <c r="F162" s="1388"/>
      <c r="G162" s="1388"/>
      <c r="H162" s="1389"/>
      <c r="I162" s="423"/>
      <c r="J162" s="420"/>
      <c r="K162" s="420"/>
    </row>
    <row r="163" spans="1:11" ht="14.5" customHeight="1" x14ac:dyDescent="0.35">
      <c r="A163" s="1" t="s">
        <v>1455</v>
      </c>
      <c r="B163" s="2" t="str">
        <f t="shared" si="4"/>
        <v>NO</v>
      </c>
      <c r="C163" s="390" t="s">
        <v>1054</v>
      </c>
      <c r="D163" s="390" t="s">
        <v>770</v>
      </c>
      <c r="E163" s="1387" t="s">
        <v>1055</v>
      </c>
      <c r="F163" s="1388"/>
      <c r="G163" s="1388"/>
      <c r="H163" s="1389"/>
      <c r="I163" s="423"/>
      <c r="J163" s="420"/>
      <c r="K163" s="420"/>
    </row>
    <row r="164" spans="1:11" ht="14.5" customHeight="1" x14ac:dyDescent="0.35">
      <c r="A164" s="1" t="s">
        <v>1455</v>
      </c>
      <c r="B164" s="2" t="str">
        <f t="shared" si="4"/>
        <v>SI</v>
      </c>
      <c r="C164" s="390" t="s">
        <v>1450</v>
      </c>
      <c r="D164" s="390" t="s">
        <v>770</v>
      </c>
      <c r="E164" s="1387" t="s">
        <v>1161</v>
      </c>
      <c r="F164" s="1388"/>
      <c r="G164" s="1388"/>
      <c r="H164" s="1389"/>
      <c r="I164" s="423">
        <v>36</v>
      </c>
      <c r="J164" s="420">
        <v>14004.23</v>
      </c>
      <c r="K164" s="420">
        <v>385.19</v>
      </c>
    </row>
    <row r="165" spans="1:11" ht="14.5" customHeight="1" x14ac:dyDescent="0.35">
      <c r="A165" s="1" t="s">
        <v>1455</v>
      </c>
      <c r="B165" s="2" t="str">
        <f t="shared" si="4"/>
        <v>NO</v>
      </c>
      <c r="C165" s="390" t="s">
        <v>1451</v>
      </c>
      <c r="D165" s="390" t="s">
        <v>770</v>
      </c>
      <c r="E165" s="1387" t="s">
        <v>1056</v>
      </c>
      <c r="F165" s="1388"/>
      <c r="G165" s="1388"/>
      <c r="H165" s="1389"/>
      <c r="I165" s="423"/>
      <c r="J165" s="420"/>
      <c r="K165" s="420"/>
    </row>
    <row r="166" spans="1:11" ht="14.5" customHeight="1" x14ac:dyDescent="0.35">
      <c r="A166" s="1" t="s">
        <v>1455</v>
      </c>
      <c r="B166" s="2" t="str">
        <f t="shared" si="4"/>
        <v>NO</v>
      </c>
      <c r="C166" s="390" t="s">
        <v>1452</v>
      </c>
      <c r="D166" s="390" t="s">
        <v>770</v>
      </c>
      <c r="E166" s="1387" t="s">
        <v>2394</v>
      </c>
      <c r="F166" s="1388"/>
      <c r="G166" s="1388"/>
      <c r="H166" s="1389"/>
      <c r="I166" s="423"/>
      <c r="J166" s="420"/>
      <c r="K166" s="420"/>
    </row>
    <row r="167" spans="1:11" ht="14.5" customHeight="1" x14ac:dyDescent="0.35">
      <c r="A167" s="1" t="s">
        <v>1455</v>
      </c>
      <c r="B167" s="2" t="str">
        <f t="shared" si="4"/>
        <v>NO</v>
      </c>
      <c r="C167" s="390" t="s">
        <v>172</v>
      </c>
      <c r="D167" s="390" t="s">
        <v>770</v>
      </c>
      <c r="E167" s="1387" t="s">
        <v>1077</v>
      </c>
      <c r="F167" s="1388"/>
      <c r="G167" s="1388"/>
      <c r="H167" s="1389"/>
      <c r="I167" s="423"/>
      <c r="J167" s="420"/>
      <c r="K167" s="420"/>
    </row>
    <row r="168" spans="1:11" ht="14.5" customHeight="1" x14ac:dyDescent="0.35">
      <c r="A168" s="1" t="s">
        <v>1455</v>
      </c>
      <c r="B168" s="2" t="str">
        <f t="shared" si="4"/>
        <v>NO</v>
      </c>
      <c r="C168" s="390" t="s">
        <v>1058</v>
      </c>
      <c r="D168" s="390" t="s">
        <v>770</v>
      </c>
      <c r="E168" s="1387" t="s">
        <v>1059</v>
      </c>
      <c r="F168" s="1388"/>
      <c r="G168" s="1388"/>
      <c r="H168" s="1389"/>
      <c r="I168" s="423"/>
      <c r="J168" s="420"/>
      <c r="K168" s="420"/>
    </row>
    <row r="169" spans="1:11" ht="14.5" customHeight="1" x14ac:dyDescent="0.35">
      <c r="A169" s="1" t="s">
        <v>1455</v>
      </c>
      <c r="B169" s="2" t="str">
        <f t="shared" si="4"/>
        <v>NO</v>
      </c>
      <c r="C169" s="390" t="s">
        <v>1060</v>
      </c>
      <c r="D169" s="390" t="s">
        <v>770</v>
      </c>
      <c r="E169" s="1387" t="s">
        <v>2395</v>
      </c>
      <c r="F169" s="1388"/>
      <c r="G169" s="1388"/>
      <c r="H169" s="1389"/>
      <c r="I169" s="423"/>
      <c r="J169" s="420"/>
      <c r="K169" s="420"/>
    </row>
    <row r="170" spans="1:11" ht="14.5" customHeight="1" x14ac:dyDescent="0.35">
      <c r="A170" s="1" t="s">
        <v>1455</v>
      </c>
      <c r="B170" s="2" t="str">
        <f t="shared" si="4"/>
        <v>NO</v>
      </c>
      <c r="C170" s="390" t="s">
        <v>1062</v>
      </c>
      <c r="D170" s="390" t="s">
        <v>770</v>
      </c>
      <c r="E170" s="1387" t="s">
        <v>1063</v>
      </c>
      <c r="F170" s="1388"/>
      <c r="G170" s="1388"/>
      <c r="H170" s="1389"/>
      <c r="I170" s="423"/>
      <c r="J170" s="420"/>
      <c r="K170" s="420"/>
    </row>
    <row r="171" spans="1:11" ht="14.5" customHeight="1" x14ac:dyDescent="0.35">
      <c r="A171" s="1" t="s">
        <v>1455</v>
      </c>
      <c r="B171" s="2" t="str">
        <f t="shared" si="4"/>
        <v>NO</v>
      </c>
      <c r="C171" s="390" t="s">
        <v>1453</v>
      </c>
      <c r="D171" s="390" t="s">
        <v>770</v>
      </c>
      <c r="E171" s="1387" t="s">
        <v>1158</v>
      </c>
      <c r="F171" s="1388"/>
      <c r="G171" s="1388"/>
      <c r="H171" s="1389"/>
      <c r="I171" s="423"/>
      <c r="J171" s="420"/>
      <c r="K171" s="420"/>
    </row>
    <row r="172" spans="1:11" ht="14.5" customHeight="1" x14ac:dyDescent="0.35">
      <c r="A172" s="1" t="s">
        <v>1455</v>
      </c>
      <c r="B172" s="2" t="str">
        <f t="shared" si="4"/>
        <v>NO</v>
      </c>
      <c r="C172" s="390" t="s">
        <v>1454</v>
      </c>
      <c r="D172" s="390" t="s">
        <v>770</v>
      </c>
      <c r="E172" s="1387" t="s">
        <v>2396</v>
      </c>
      <c r="F172" s="1388"/>
      <c r="G172" s="1388"/>
      <c r="H172" s="1389"/>
      <c r="I172" s="423"/>
      <c r="J172" s="420"/>
      <c r="K172" s="420"/>
    </row>
    <row r="173" spans="1:11" ht="14.5" customHeight="1" x14ac:dyDescent="0.35">
      <c r="A173" s="1" t="s">
        <v>1455</v>
      </c>
      <c r="B173" s="2" t="str">
        <f t="shared" si="4"/>
        <v>NO</v>
      </c>
      <c r="C173" s="390" t="s">
        <v>2319</v>
      </c>
      <c r="D173" s="390" t="s">
        <v>770</v>
      </c>
      <c r="E173" s="1387" t="s">
        <v>2316</v>
      </c>
      <c r="F173" s="1388"/>
      <c r="G173" s="1388"/>
      <c r="H173" s="1389"/>
      <c r="I173" s="423"/>
      <c r="J173" s="420"/>
      <c r="K173" s="420"/>
    </row>
    <row r="174" spans="1:11" ht="14.5" customHeight="1" x14ac:dyDescent="0.35">
      <c r="A174" s="1" t="s">
        <v>1455</v>
      </c>
      <c r="B174" s="2" t="str">
        <f t="shared" si="4"/>
        <v>NO</v>
      </c>
      <c r="C174" s="390" t="s">
        <v>2320</v>
      </c>
      <c r="D174" s="390" t="s">
        <v>770</v>
      </c>
      <c r="E174" s="1387" t="s">
        <v>2317</v>
      </c>
      <c r="F174" s="1388"/>
      <c r="G174" s="1388"/>
      <c r="H174" s="1389"/>
      <c r="I174" s="423"/>
      <c r="J174" s="420"/>
      <c r="K174" s="420"/>
    </row>
    <row r="175" spans="1:11" ht="14.5" customHeight="1" x14ac:dyDescent="0.35">
      <c r="A175" s="1" t="s">
        <v>1455</v>
      </c>
      <c r="B175" s="2" t="str">
        <f t="shared" si="4"/>
        <v>NO</v>
      </c>
      <c r="C175" s="390" t="s">
        <v>2321</v>
      </c>
      <c r="D175" s="390" t="s">
        <v>770</v>
      </c>
      <c r="E175" s="1387" t="s">
        <v>2318</v>
      </c>
      <c r="F175" s="1388"/>
      <c r="G175" s="1388"/>
      <c r="H175" s="1389"/>
      <c r="I175" s="423"/>
      <c r="J175" s="420"/>
      <c r="K175" s="420"/>
    </row>
    <row r="176" spans="1:11" ht="14.5" customHeight="1" x14ac:dyDescent="0.35">
      <c r="A176" s="1" t="s">
        <v>1455</v>
      </c>
      <c r="B176" s="2" t="str">
        <f t="shared" si="4"/>
        <v>NO</v>
      </c>
      <c r="C176" s="390" t="s">
        <v>870</v>
      </c>
      <c r="D176" s="390" t="s">
        <v>770</v>
      </c>
      <c r="E176" s="916" t="s">
        <v>2397</v>
      </c>
      <c r="F176" s="917"/>
      <c r="G176" s="917"/>
      <c r="H176" s="918"/>
      <c r="I176" s="423"/>
      <c r="J176" s="420"/>
      <c r="K176" s="420"/>
    </row>
    <row r="177" spans="1:11" ht="14.5" customHeight="1" x14ac:dyDescent="0.35">
      <c r="A177" s="1" t="s">
        <v>1455</v>
      </c>
      <c r="B177" s="2" t="str">
        <f t="shared" si="4"/>
        <v>NO</v>
      </c>
      <c r="C177" s="390" t="s">
        <v>867</v>
      </c>
      <c r="D177" s="390" t="s">
        <v>770</v>
      </c>
      <c r="E177" s="916" t="s">
        <v>2398</v>
      </c>
      <c r="F177" s="917"/>
      <c r="G177" s="917"/>
      <c r="H177" s="918"/>
      <c r="I177" s="423"/>
      <c r="J177" s="420"/>
      <c r="K177" s="420"/>
    </row>
    <row r="178" spans="1:11" ht="14.5" customHeight="1" x14ac:dyDescent="0.35">
      <c r="A178" s="1" t="s">
        <v>1455</v>
      </c>
      <c r="B178" s="2" t="str">
        <f t="shared" si="4"/>
        <v>NO</v>
      </c>
      <c r="C178" s="390" t="s">
        <v>1064</v>
      </c>
      <c r="D178" s="390" t="s">
        <v>770</v>
      </c>
      <c r="E178" s="916" t="s">
        <v>1065</v>
      </c>
      <c r="F178" s="917"/>
      <c r="G178" s="917"/>
      <c r="H178" s="918"/>
      <c r="I178" s="423"/>
      <c r="J178" s="420"/>
      <c r="K178" s="420"/>
    </row>
    <row r="179" spans="1:11" ht="14.5" customHeight="1" x14ac:dyDescent="0.35">
      <c r="A179" s="1" t="s">
        <v>1455</v>
      </c>
      <c r="B179" s="2" t="str">
        <f t="shared" si="4"/>
        <v>NO</v>
      </c>
      <c r="C179" s="390" t="s">
        <v>861</v>
      </c>
      <c r="D179" s="390" t="s">
        <v>770</v>
      </c>
      <c r="E179" s="916" t="s">
        <v>2399</v>
      </c>
      <c r="F179" s="917"/>
      <c r="G179" s="917"/>
      <c r="H179" s="918"/>
      <c r="I179" s="423"/>
      <c r="J179" s="420"/>
      <c r="K179" s="420"/>
    </row>
    <row r="180" spans="1:11" ht="14.5" customHeight="1" x14ac:dyDescent="0.35">
      <c r="A180" s="1" t="s">
        <v>1455</v>
      </c>
      <c r="B180" s="2" t="str">
        <f t="shared" si="4"/>
        <v>NO</v>
      </c>
      <c r="C180" s="390" t="s">
        <v>858</v>
      </c>
      <c r="D180" s="390" t="s">
        <v>770</v>
      </c>
      <c r="E180" s="916" t="s">
        <v>2412</v>
      </c>
      <c r="F180" s="917"/>
      <c r="G180" s="917"/>
      <c r="H180" s="918"/>
      <c r="I180" s="423"/>
      <c r="J180" s="420"/>
      <c r="K180" s="420"/>
    </row>
    <row r="181" spans="1:11" ht="14.5" customHeight="1" x14ac:dyDescent="0.35">
      <c r="A181" s="1" t="s">
        <v>1455</v>
      </c>
      <c r="B181" s="2" t="str">
        <f t="shared" si="4"/>
        <v>NO</v>
      </c>
      <c r="C181" s="390" t="s">
        <v>177</v>
      </c>
      <c r="D181" s="390" t="s">
        <v>770</v>
      </c>
      <c r="E181" s="916" t="s">
        <v>1171</v>
      </c>
      <c r="F181" s="917"/>
      <c r="G181" s="917"/>
      <c r="H181" s="918"/>
      <c r="I181" s="423"/>
      <c r="J181" s="420"/>
      <c r="K181" s="420"/>
    </row>
    <row r="182" spans="1:11" ht="14.5" customHeight="1" x14ac:dyDescent="0.35">
      <c r="A182" s="1" t="s">
        <v>1455</v>
      </c>
      <c r="B182" s="2" t="str">
        <f t="shared" si="4"/>
        <v>NO</v>
      </c>
      <c r="C182" s="390" t="s">
        <v>179</v>
      </c>
      <c r="D182" s="390" t="s">
        <v>770</v>
      </c>
      <c r="E182" s="916" t="s">
        <v>1170</v>
      </c>
      <c r="F182" s="917"/>
      <c r="G182" s="917"/>
      <c r="H182" s="918"/>
      <c r="I182" s="423"/>
      <c r="J182" s="420"/>
      <c r="K182" s="420"/>
    </row>
    <row r="183" spans="1:11" ht="14.5" customHeight="1" x14ac:dyDescent="0.35">
      <c r="A183" s="1" t="s">
        <v>1455</v>
      </c>
      <c r="B183" s="2" t="str">
        <f t="shared" si="4"/>
        <v>NO</v>
      </c>
      <c r="C183" s="390" t="s">
        <v>180</v>
      </c>
      <c r="D183" s="390" t="s">
        <v>770</v>
      </c>
      <c r="E183" s="916" t="s">
        <v>1169</v>
      </c>
      <c r="F183" s="917"/>
      <c r="G183" s="917"/>
      <c r="H183" s="918"/>
      <c r="I183" s="423"/>
      <c r="J183" s="420"/>
      <c r="K183" s="420"/>
    </row>
    <row r="184" spans="1:11" ht="14.5" customHeight="1" x14ac:dyDescent="0.35">
      <c r="A184" s="1" t="s">
        <v>1455</v>
      </c>
      <c r="B184" s="2" t="str">
        <f t="shared" si="4"/>
        <v>NO</v>
      </c>
      <c r="C184" s="390" t="s">
        <v>181</v>
      </c>
      <c r="D184" s="390" t="s">
        <v>770</v>
      </c>
      <c r="E184" s="916" t="s">
        <v>2413</v>
      </c>
      <c r="F184" s="917"/>
      <c r="G184" s="917"/>
      <c r="H184" s="918"/>
      <c r="I184" s="423"/>
      <c r="J184" s="420"/>
      <c r="K184" s="420"/>
    </row>
    <row r="185" spans="1:11" ht="14.5" customHeight="1" x14ac:dyDescent="0.35">
      <c r="A185" s="1" t="s">
        <v>1455</v>
      </c>
      <c r="B185" s="2" t="str">
        <f t="shared" si="4"/>
        <v>NO</v>
      </c>
      <c r="C185" s="390" t="s">
        <v>182</v>
      </c>
      <c r="D185" s="390" t="s">
        <v>770</v>
      </c>
      <c r="E185" s="916" t="s">
        <v>1082</v>
      </c>
      <c r="F185" s="917"/>
      <c r="G185" s="917"/>
      <c r="H185" s="918"/>
      <c r="I185" s="423"/>
      <c r="J185" s="420"/>
      <c r="K185" s="420"/>
    </row>
    <row r="186" spans="1:11" ht="14.5" customHeight="1" x14ac:dyDescent="0.35">
      <c r="A186" s="1" t="s">
        <v>1455</v>
      </c>
      <c r="B186" s="2" t="str">
        <f t="shared" si="4"/>
        <v>NO</v>
      </c>
      <c r="C186" s="390" t="s">
        <v>183</v>
      </c>
      <c r="D186" s="390" t="s">
        <v>770</v>
      </c>
      <c r="E186" s="916" t="s">
        <v>1083</v>
      </c>
      <c r="F186" s="917"/>
      <c r="G186" s="917"/>
      <c r="H186" s="918"/>
      <c r="I186" s="423"/>
      <c r="J186" s="420"/>
      <c r="K186" s="420"/>
    </row>
    <row r="187" spans="1:11" ht="14.5" customHeight="1" x14ac:dyDescent="0.35">
      <c r="A187" s="1" t="s">
        <v>1455</v>
      </c>
      <c r="B187" s="2" t="str">
        <f t="shared" si="4"/>
        <v>NO</v>
      </c>
      <c r="C187" s="390" t="s">
        <v>184</v>
      </c>
      <c r="D187" s="390" t="s">
        <v>770</v>
      </c>
      <c r="E187" s="916" t="s">
        <v>2414</v>
      </c>
      <c r="F187" s="917"/>
      <c r="G187" s="917"/>
      <c r="H187" s="918"/>
      <c r="I187" s="423"/>
      <c r="J187" s="420"/>
      <c r="K187" s="420"/>
    </row>
    <row r="188" spans="1:11" ht="14.5" customHeight="1" x14ac:dyDescent="0.35">
      <c r="A188" s="1" t="s">
        <v>1455</v>
      </c>
      <c r="B188" s="2" t="str">
        <f t="shared" si="4"/>
        <v>NO</v>
      </c>
      <c r="C188" s="390" t="s">
        <v>185</v>
      </c>
      <c r="D188" s="390" t="s">
        <v>770</v>
      </c>
      <c r="E188" s="916" t="s">
        <v>2415</v>
      </c>
      <c r="F188" s="917"/>
      <c r="G188" s="917"/>
      <c r="H188" s="918"/>
      <c r="I188" s="423"/>
      <c r="J188" s="420"/>
      <c r="K188" s="420"/>
    </row>
    <row r="189" spans="1:11" ht="14.5" customHeight="1" x14ac:dyDescent="0.35">
      <c r="A189" s="1" t="s">
        <v>1455</v>
      </c>
      <c r="B189" s="2" t="str">
        <f t="shared" si="4"/>
        <v>NO</v>
      </c>
      <c r="C189" s="390" t="s">
        <v>1066</v>
      </c>
      <c r="D189" s="390" t="s">
        <v>770</v>
      </c>
      <c r="E189" s="916" t="s">
        <v>2416</v>
      </c>
      <c r="F189" s="917"/>
      <c r="G189" s="917"/>
      <c r="H189" s="918"/>
      <c r="I189" s="423"/>
      <c r="J189" s="420"/>
      <c r="K189" s="420"/>
    </row>
    <row r="190" spans="1:11" ht="14.5" customHeight="1" x14ac:dyDescent="0.35">
      <c r="A190" s="1" t="s">
        <v>1455</v>
      </c>
      <c r="B190" s="2" t="str">
        <f t="shared" si="4"/>
        <v>NO</v>
      </c>
      <c r="C190" s="390" t="s">
        <v>1068</v>
      </c>
      <c r="D190" s="390" t="s">
        <v>770</v>
      </c>
      <c r="E190" s="916" t="s">
        <v>2417</v>
      </c>
      <c r="F190" s="917"/>
      <c r="G190" s="917"/>
      <c r="H190" s="918"/>
      <c r="I190" s="423"/>
      <c r="J190" s="420"/>
      <c r="K190" s="420"/>
    </row>
    <row r="191" spans="1:11" ht="14.5" customHeight="1" x14ac:dyDescent="0.35">
      <c r="A191" s="1" t="s">
        <v>1455</v>
      </c>
      <c r="B191" s="2" t="str">
        <f t="shared" si="4"/>
        <v>NO</v>
      </c>
      <c r="C191" s="390" t="s">
        <v>855</v>
      </c>
      <c r="D191" s="390" t="s">
        <v>770</v>
      </c>
      <c r="E191" s="916" t="s">
        <v>1374</v>
      </c>
      <c r="F191" s="917"/>
      <c r="G191" s="917"/>
      <c r="H191" s="918"/>
      <c r="I191" s="423"/>
      <c r="J191" s="420"/>
      <c r="K191" s="420"/>
    </row>
    <row r="192" spans="1:11" ht="14.5" customHeight="1" x14ac:dyDescent="0.35">
      <c r="A192" s="1" t="s">
        <v>1455</v>
      </c>
      <c r="B192" s="2" t="str">
        <f t="shared" si="4"/>
        <v>NO</v>
      </c>
      <c r="C192" s="390" t="s">
        <v>187</v>
      </c>
      <c r="D192" s="390" t="s">
        <v>770</v>
      </c>
      <c r="E192" s="916" t="s">
        <v>1375</v>
      </c>
      <c r="F192" s="917"/>
      <c r="G192" s="917"/>
      <c r="H192" s="918"/>
      <c r="I192" s="423"/>
      <c r="J192" s="420"/>
      <c r="K192" s="420"/>
    </row>
    <row r="193" spans="1:11" ht="14.5" customHeight="1" x14ac:dyDescent="0.35">
      <c r="A193" s="1" t="s">
        <v>1455</v>
      </c>
      <c r="B193" s="2" t="str">
        <f t="shared" si="4"/>
        <v>NO</v>
      </c>
      <c r="C193" s="390" t="s">
        <v>189</v>
      </c>
      <c r="D193" s="390" t="s">
        <v>770</v>
      </c>
      <c r="E193" s="916" t="s">
        <v>1376</v>
      </c>
      <c r="F193" s="917"/>
      <c r="G193" s="917"/>
      <c r="H193" s="918"/>
      <c r="I193" s="423"/>
      <c r="J193" s="420"/>
      <c r="K193" s="420"/>
    </row>
    <row r="194" spans="1:11" ht="14.5" customHeight="1" x14ac:dyDescent="0.35">
      <c r="A194" s="1" t="s">
        <v>1455</v>
      </c>
      <c r="B194" s="2" t="str">
        <f t="shared" si="4"/>
        <v>NO</v>
      </c>
      <c r="C194" s="390" t="s">
        <v>191</v>
      </c>
      <c r="D194" s="390" t="s">
        <v>770</v>
      </c>
      <c r="E194" s="916" t="s">
        <v>1377</v>
      </c>
      <c r="F194" s="917"/>
      <c r="G194" s="917"/>
      <c r="H194" s="918"/>
      <c r="I194" s="423"/>
      <c r="J194" s="420"/>
      <c r="K194" s="420"/>
    </row>
    <row r="195" spans="1:11" ht="14.5" customHeight="1" x14ac:dyDescent="0.35">
      <c r="A195" s="1" t="s">
        <v>1455</v>
      </c>
      <c r="B195" s="2" t="str">
        <f t="shared" si="4"/>
        <v>NO</v>
      </c>
      <c r="C195" s="390" t="s">
        <v>193</v>
      </c>
      <c r="D195" s="390" t="s">
        <v>770</v>
      </c>
      <c r="E195" s="916" t="s">
        <v>1151</v>
      </c>
      <c r="F195" s="917"/>
      <c r="G195" s="917"/>
      <c r="H195" s="918"/>
      <c r="I195" s="423"/>
      <c r="J195" s="420"/>
      <c r="K195" s="420"/>
    </row>
    <row r="196" spans="1:11" ht="14.5" customHeight="1" x14ac:dyDescent="0.35">
      <c r="A196" s="1" t="s">
        <v>1455</v>
      </c>
      <c r="B196" s="2" t="str">
        <f t="shared" si="4"/>
        <v>NO</v>
      </c>
      <c r="C196" s="390" t="s">
        <v>195</v>
      </c>
      <c r="D196" s="390" t="s">
        <v>770</v>
      </c>
      <c r="E196" s="916" t="s">
        <v>1152</v>
      </c>
      <c r="F196" s="917"/>
      <c r="G196" s="917"/>
      <c r="H196" s="918"/>
      <c r="I196" s="423"/>
      <c r="J196" s="420"/>
      <c r="K196" s="420"/>
    </row>
    <row r="197" spans="1:11" ht="14.5" customHeight="1" x14ac:dyDescent="0.35">
      <c r="A197" s="1" t="s">
        <v>1455</v>
      </c>
      <c r="B197" s="2" t="str">
        <f t="shared" si="4"/>
        <v>NO</v>
      </c>
      <c r="C197" s="390" t="s">
        <v>197</v>
      </c>
      <c r="D197" s="390" t="s">
        <v>770</v>
      </c>
      <c r="E197" s="916" t="s">
        <v>1378</v>
      </c>
      <c r="F197" s="917"/>
      <c r="G197" s="917"/>
      <c r="H197" s="918"/>
      <c r="I197" s="423"/>
      <c r="J197" s="420"/>
      <c r="K197" s="420"/>
    </row>
    <row r="198" spans="1:11" ht="14.5" customHeight="1" x14ac:dyDescent="0.35">
      <c r="A198" s="1" t="s">
        <v>1455</v>
      </c>
      <c r="B198" s="2" t="str">
        <f t="shared" si="4"/>
        <v>NO</v>
      </c>
      <c r="C198" s="390" t="s">
        <v>844</v>
      </c>
      <c r="D198" s="390" t="s">
        <v>770</v>
      </c>
      <c r="E198" s="916" t="s">
        <v>2400</v>
      </c>
      <c r="F198" s="917"/>
      <c r="G198" s="917"/>
      <c r="H198" s="918"/>
      <c r="I198" s="423"/>
      <c r="J198" s="420"/>
      <c r="K198" s="420"/>
    </row>
    <row r="199" spans="1:11" ht="14.5" customHeight="1" x14ac:dyDescent="0.35">
      <c r="A199" s="1" t="s">
        <v>1455</v>
      </c>
      <c r="B199" s="2" t="str">
        <f t="shared" si="4"/>
        <v>NO</v>
      </c>
      <c r="C199" s="390" t="s">
        <v>200</v>
      </c>
      <c r="D199" s="390" t="s">
        <v>770</v>
      </c>
      <c r="E199" s="916" t="s">
        <v>2418</v>
      </c>
      <c r="F199" s="917"/>
      <c r="G199" s="917"/>
      <c r="H199" s="918"/>
      <c r="I199" s="423"/>
      <c r="J199" s="420"/>
      <c r="K199" s="420"/>
    </row>
    <row r="200" spans="1:11" ht="14.5" customHeight="1" x14ac:dyDescent="0.35">
      <c r="A200" s="1" t="s">
        <v>1455</v>
      </c>
      <c r="B200" s="2" t="str">
        <f t="shared" si="4"/>
        <v>NO</v>
      </c>
      <c r="C200" s="390" t="s">
        <v>869</v>
      </c>
      <c r="D200" s="390" t="s">
        <v>770</v>
      </c>
      <c r="E200" s="916" t="s">
        <v>2419</v>
      </c>
      <c r="F200" s="917"/>
      <c r="G200" s="917"/>
      <c r="H200" s="918"/>
      <c r="I200" s="423"/>
      <c r="J200" s="420"/>
      <c r="K200" s="420"/>
    </row>
    <row r="201" spans="1:11" ht="14.5" customHeight="1" x14ac:dyDescent="0.35">
      <c r="A201" s="1" t="s">
        <v>1455</v>
      </c>
      <c r="B201" s="2" t="str">
        <f t="shared" si="4"/>
        <v>NO</v>
      </c>
      <c r="C201" s="390" t="s">
        <v>866</v>
      </c>
      <c r="D201" s="390" t="s">
        <v>770</v>
      </c>
      <c r="E201" s="916" t="s">
        <v>2401</v>
      </c>
      <c r="F201" s="917"/>
      <c r="G201" s="917"/>
      <c r="H201" s="918"/>
      <c r="I201" s="423"/>
      <c r="J201" s="420"/>
      <c r="K201" s="420"/>
    </row>
    <row r="202" spans="1:11" ht="14.5" customHeight="1" x14ac:dyDescent="0.35">
      <c r="A202" s="1" t="s">
        <v>1455</v>
      </c>
      <c r="B202" s="2" t="str">
        <f t="shared" si="4"/>
        <v>NO</v>
      </c>
      <c r="C202" s="390" t="s">
        <v>863</v>
      </c>
      <c r="D202" s="390" t="s">
        <v>770</v>
      </c>
      <c r="E202" s="916" t="s">
        <v>2402</v>
      </c>
      <c r="F202" s="917"/>
      <c r="G202" s="917"/>
      <c r="H202" s="918"/>
      <c r="I202" s="423"/>
      <c r="J202" s="420"/>
      <c r="K202" s="420"/>
    </row>
    <row r="203" spans="1:11" ht="14.5" customHeight="1" x14ac:dyDescent="0.35">
      <c r="A203" s="1" t="s">
        <v>1455</v>
      </c>
      <c r="B203" s="2" t="str">
        <f t="shared" si="4"/>
        <v>NO</v>
      </c>
      <c r="C203" s="390" t="s">
        <v>860</v>
      </c>
      <c r="D203" s="390" t="s">
        <v>770</v>
      </c>
      <c r="E203" s="916" t="s">
        <v>2403</v>
      </c>
      <c r="F203" s="917"/>
      <c r="G203" s="917"/>
      <c r="H203" s="918"/>
      <c r="I203" s="423"/>
      <c r="J203" s="420"/>
      <c r="K203" s="420"/>
    </row>
    <row r="204" spans="1:11" ht="14.5" customHeight="1" x14ac:dyDescent="0.35">
      <c r="A204" s="1" t="s">
        <v>1455</v>
      </c>
      <c r="B204" s="2" t="str">
        <f t="shared" si="4"/>
        <v>NO</v>
      </c>
      <c r="C204" s="390" t="s">
        <v>206</v>
      </c>
      <c r="D204" s="390" t="s">
        <v>770</v>
      </c>
      <c r="E204" s="916" t="s">
        <v>2404</v>
      </c>
      <c r="F204" s="917"/>
      <c r="G204" s="917"/>
      <c r="H204" s="918"/>
      <c r="I204" s="423"/>
      <c r="J204" s="420"/>
      <c r="K204" s="420"/>
    </row>
    <row r="205" spans="1:11" ht="14.5" customHeight="1" x14ac:dyDescent="0.35">
      <c r="A205" s="1" t="s">
        <v>1455</v>
      </c>
      <c r="B205" s="2" t="str">
        <f t="shared" si="4"/>
        <v>NO</v>
      </c>
      <c r="C205" s="390" t="s">
        <v>857</v>
      </c>
      <c r="D205" s="390" t="s">
        <v>770</v>
      </c>
      <c r="E205" s="916" t="s">
        <v>2405</v>
      </c>
      <c r="F205" s="917"/>
      <c r="G205" s="917"/>
      <c r="H205" s="918"/>
      <c r="I205" s="423"/>
      <c r="J205" s="420"/>
      <c r="K205" s="420"/>
    </row>
    <row r="206" spans="1:11" ht="14.5" customHeight="1" x14ac:dyDescent="0.35">
      <c r="A206" s="1" t="s">
        <v>1455</v>
      </c>
      <c r="B206" s="2" t="str">
        <f t="shared" si="4"/>
        <v>NO</v>
      </c>
      <c r="C206" s="390" t="s">
        <v>854</v>
      </c>
      <c r="D206" s="390" t="s">
        <v>770</v>
      </c>
      <c r="E206" s="916" t="s">
        <v>2420</v>
      </c>
      <c r="F206" s="917"/>
      <c r="G206" s="917"/>
      <c r="H206" s="918"/>
      <c r="I206" s="423"/>
      <c r="J206" s="420"/>
      <c r="K206" s="420"/>
    </row>
    <row r="207" spans="1:11" ht="14.5" customHeight="1" x14ac:dyDescent="0.35">
      <c r="A207" s="1" t="s">
        <v>1455</v>
      </c>
      <c r="B207" s="2" t="str">
        <f t="shared" si="4"/>
        <v>NO</v>
      </c>
      <c r="C207" s="390" t="s">
        <v>850</v>
      </c>
      <c r="D207" s="390" t="s">
        <v>770</v>
      </c>
      <c r="E207" s="916" t="s">
        <v>2406</v>
      </c>
      <c r="F207" s="917"/>
      <c r="G207" s="917"/>
      <c r="H207" s="918"/>
      <c r="I207" s="423"/>
      <c r="J207" s="420"/>
      <c r="K207" s="420"/>
    </row>
    <row r="208" spans="1:11" ht="14.5" customHeight="1" x14ac:dyDescent="0.35">
      <c r="A208" s="1" t="s">
        <v>1455</v>
      </c>
      <c r="B208" s="2" t="str">
        <f t="shared" si="4"/>
        <v>NO</v>
      </c>
      <c r="C208" s="390" t="s">
        <v>848</v>
      </c>
      <c r="D208" s="390" t="s">
        <v>770</v>
      </c>
      <c r="E208" s="916" t="s">
        <v>2407</v>
      </c>
      <c r="F208" s="917"/>
      <c r="G208" s="917"/>
      <c r="H208" s="918"/>
      <c r="I208" s="423"/>
      <c r="J208" s="420"/>
      <c r="K208" s="420"/>
    </row>
    <row r="209" spans="1:11" ht="14.5" customHeight="1" x14ac:dyDescent="0.35">
      <c r="A209" s="1" t="s">
        <v>1455</v>
      </c>
      <c r="B209" s="2" t="str">
        <f t="shared" si="4"/>
        <v>NO</v>
      </c>
      <c r="C209" s="390" t="s">
        <v>846</v>
      </c>
      <c r="D209" s="390" t="s">
        <v>770</v>
      </c>
      <c r="E209" s="916" t="s">
        <v>2408</v>
      </c>
      <c r="F209" s="917"/>
      <c r="G209" s="917"/>
      <c r="H209" s="918"/>
      <c r="I209" s="423"/>
      <c r="J209" s="420"/>
      <c r="K209" s="420"/>
    </row>
    <row r="210" spans="1:11" ht="14.5" customHeight="1" x14ac:dyDescent="0.35">
      <c r="A210" s="1" t="s">
        <v>1455</v>
      </c>
      <c r="B210" s="2" t="str">
        <f t="shared" si="4"/>
        <v>NO</v>
      </c>
      <c r="C210" s="390" t="s">
        <v>843</v>
      </c>
      <c r="D210" s="390" t="s">
        <v>770</v>
      </c>
      <c r="E210" s="916" t="s">
        <v>2409</v>
      </c>
      <c r="F210" s="917"/>
      <c r="G210" s="917"/>
      <c r="H210" s="918"/>
      <c r="I210" s="423"/>
      <c r="J210" s="420"/>
      <c r="K210" s="420"/>
    </row>
    <row r="211" spans="1:11" ht="14.5" customHeight="1" x14ac:dyDescent="0.35">
      <c r="A211" s="1" t="s">
        <v>1455</v>
      </c>
      <c r="B211" s="2" t="str">
        <f t="shared" si="4"/>
        <v>NO</v>
      </c>
      <c r="C211" s="390" t="s">
        <v>214</v>
      </c>
      <c r="D211" s="390" t="s">
        <v>770</v>
      </c>
      <c r="E211" s="916" t="s">
        <v>2410</v>
      </c>
      <c r="F211" s="917"/>
      <c r="G211" s="917"/>
      <c r="H211" s="918"/>
      <c r="I211" s="423"/>
      <c r="J211" s="420"/>
      <c r="K211" s="420"/>
    </row>
    <row r="212" spans="1:11" ht="14.5" customHeight="1" x14ac:dyDescent="0.35">
      <c r="A212" s="1" t="s">
        <v>1455</v>
      </c>
      <c r="B212" s="2" t="str">
        <f t="shared" si="4"/>
        <v>NO</v>
      </c>
      <c r="C212" s="390" t="s">
        <v>216</v>
      </c>
      <c r="D212" s="390" t="s">
        <v>770</v>
      </c>
      <c r="E212" s="916" t="s">
        <v>2411</v>
      </c>
      <c r="F212" s="917"/>
      <c r="G212" s="917"/>
      <c r="H212" s="918"/>
      <c r="I212" s="423"/>
      <c r="J212" s="420"/>
      <c r="K212" s="420"/>
    </row>
    <row r="213" spans="1:11" ht="14.5" customHeight="1" x14ac:dyDescent="0.35">
      <c r="A213" s="1" t="s">
        <v>1455</v>
      </c>
      <c r="B213" s="2" t="str">
        <f t="shared" ref="B213:B217" si="5">IF(SUM(I213:K213)&gt;0,"SI","NO")</f>
        <v>NO</v>
      </c>
      <c r="C213" s="390" t="s">
        <v>218</v>
      </c>
      <c r="D213" s="390" t="s">
        <v>770</v>
      </c>
      <c r="E213" s="916" t="s">
        <v>2421</v>
      </c>
      <c r="F213" s="917"/>
      <c r="G213" s="917"/>
      <c r="H213" s="918"/>
      <c r="I213" s="423"/>
      <c r="J213" s="420"/>
      <c r="K213" s="420"/>
    </row>
    <row r="214" spans="1:11" ht="14.5" customHeight="1" x14ac:dyDescent="0.35">
      <c r="A214" s="1" t="s">
        <v>1455</v>
      </c>
      <c r="B214" s="2" t="str">
        <f t="shared" si="5"/>
        <v>NO</v>
      </c>
      <c r="C214" s="390" t="s">
        <v>220</v>
      </c>
      <c r="D214" s="390" t="s">
        <v>770</v>
      </c>
      <c r="E214" s="916" t="s">
        <v>1153</v>
      </c>
      <c r="F214" s="917"/>
      <c r="G214" s="917"/>
      <c r="H214" s="918"/>
      <c r="I214" s="423"/>
      <c r="J214" s="420"/>
      <c r="K214" s="420"/>
    </row>
    <row r="215" spans="1:11" ht="14.5" customHeight="1" x14ac:dyDescent="0.35">
      <c r="A215" s="1" t="s">
        <v>1455</v>
      </c>
      <c r="B215" s="2" t="str">
        <f t="shared" si="5"/>
        <v>NO</v>
      </c>
      <c r="C215" s="390" t="s">
        <v>222</v>
      </c>
      <c r="D215" s="390" t="s">
        <v>770</v>
      </c>
      <c r="E215" s="916" t="s">
        <v>2422</v>
      </c>
      <c r="F215" s="917"/>
      <c r="G215" s="917"/>
      <c r="H215" s="918"/>
      <c r="I215" s="423"/>
      <c r="J215" s="420"/>
      <c r="K215" s="420"/>
    </row>
    <row r="216" spans="1:11" ht="14.5" customHeight="1" x14ac:dyDescent="0.35">
      <c r="A216" s="1" t="s">
        <v>1455</v>
      </c>
      <c r="B216" s="2" t="str">
        <f t="shared" si="5"/>
        <v>NO</v>
      </c>
      <c r="C216" s="390" t="s">
        <v>224</v>
      </c>
      <c r="D216" s="390" t="s">
        <v>770</v>
      </c>
      <c r="E216" s="916" t="s">
        <v>2423</v>
      </c>
      <c r="F216" s="917"/>
      <c r="G216" s="917"/>
      <c r="H216" s="918"/>
      <c r="I216" s="423"/>
      <c r="J216" s="420"/>
      <c r="K216" s="420"/>
    </row>
    <row r="217" spans="1:11" ht="14.5" customHeight="1" x14ac:dyDescent="0.35">
      <c r="A217" s="1" t="s">
        <v>1455</v>
      </c>
      <c r="B217" s="2" t="str">
        <f t="shared" si="5"/>
        <v>NO</v>
      </c>
      <c r="C217" s="390" t="s">
        <v>865</v>
      </c>
      <c r="D217" s="390" t="s">
        <v>770</v>
      </c>
      <c r="E217" s="916" t="s">
        <v>2424</v>
      </c>
      <c r="F217" s="917"/>
      <c r="G217" s="917"/>
      <c r="H217" s="918"/>
      <c r="I217" s="423"/>
      <c r="J217" s="420"/>
      <c r="K217" s="420"/>
    </row>
    <row r="218" spans="1:11" ht="14.5" customHeight="1" x14ac:dyDescent="0.35">
      <c r="A218" s="1" t="s">
        <v>1455</v>
      </c>
      <c r="B218" s="2" t="str">
        <f>IF(SUM(I218:K218)&gt;0,"SI","NO")</f>
        <v>NO</v>
      </c>
      <c r="C218" s="390" t="s">
        <v>227</v>
      </c>
      <c r="D218" s="390" t="s">
        <v>770</v>
      </c>
      <c r="E218" s="916" t="s">
        <v>1086</v>
      </c>
      <c r="F218" s="917"/>
      <c r="G218" s="917"/>
      <c r="H218" s="918"/>
      <c r="I218" s="423"/>
      <c r="J218" s="420"/>
      <c r="K218" s="420"/>
    </row>
    <row r="219" spans="1:11" ht="14.5" customHeight="1" x14ac:dyDescent="0.35">
      <c r="A219" s="1" t="s">
        <v>1455</v>
      </c>
      <c r="B219" s="2" t="str">
        <f>IF(SUM(I219:K219)&gt;0,"SI","NO")</f>
        <v>NO</v>
      </c>
      <c r="C219" s="390" t="s">
        <v>856</v>
      </c>
      <c r="D219" s="390" t="s">
        <v>770</v>
      </c>
      <c r="E219" s="916" t="s">
        <v>1154</v>
      </c>
      <c r="F219" s="917"/>
      <c r="G219" s="917"/>
      <c r="H219" s="918"/>
      <c r="I219" s="423"/>
      <c r="J219" s="420"/>
      <c r="K219" s="420"/>
    </row>
    <row r="220" spans="1:11" ht="14.5" customHeight="1" x14ac:dyDescent="0.35">
      <c r="A220" s="1" t="s">
        <v>1455</v>
      </c>
      <c r="B220" s="2" t="str">
        <f>IF(SUM(I220:K220)&gt;0,"SI","NO")</f>
        <v>NO</v>
      </c>
      <c r="C220" s="390" t="s">
        <v>853</v>
      </c>
      <c r="D220" s="390" t="s">
        <v>770</v>
      </c>
      <c r="E220" s="916" t="s">
        <v>2425</v>
      </c>
      <c r="F220" s="917"/>
      <c r="G220" s="917"/>
      <c r="H220" s="918"/>
      <c r="I220" s="423"/>
      <c r="J220" s="420"/>
      <c r="K220" s="420"/>
    </row>
    <row r="221" spans="1:11" s="392" customFormat="1" x14ac:dyDescent="0.35">
      <c r="B221" s="2" t="str">
        <f>IF(SUM(I$84:K$220)&gt;0,"SI","NO")</f>
        <v>SI</v>
      </c>
      <c r="C221" s="396"/>
      <c r="D221" s="397"/>
      <c r="E221" s="398"/>
      <c r="F221" s="398"/>
      <c r="G221" s="1391"/>
      <c r="H221" s="1392"/>
      <c r="I221" s="399" t="s">
        <v>1412</v>
      </c>
      <c r="J221" s="421">
        <f>SUMIF($D84:$D220,"+",J84:J220)-SUMIF($D84:$D220,"-",J84:J220)</f>
        <v>189336.88</v>
      </c>
      <c r="K221" s="421">
        <f>SUMIF($D84:$D220,"+",K84:K220)-SUMIF($D84:$D220,"-",K84:K220)</f>
        <v>4214.3399999999992</v>
      </c>
    </row>
    <row r="222" spans="1:11" x14ac:dyDescent="0.35">
      <c r="B222" s="2" t="str">
        <f>IF(SUM(I$84:K$220)&gt;0,"SI","NO")</f>
        <v>SI</v>
      </c>
    </row>
    <row r="223" spans="1:11" x14ac:dyDescent="0.35">
      <c r="B223" s="2" t="str">
        <f>IF(SUM(I$225:K$231)&gt;0,"SI","NO")</f>
        <v>NO</v>
      </c>
      <c r="C223" s="1393" t="s">
        <v>1354</v>
      </c>
      <c r="D223" s="1394"/>
      <c r="E223" s="1394"/>
      <c r="F223" s="1394"/>
      <c r="G223" s="1394"/>
      <c r="H223" s="1394"/>
      <c r="I223" s="1394"/>
      <c r="J223" s="1394"/>
      <c r="K223" s="1395"/>
    </row>
    <row r="224" spans="1:11" s="402" customFormat="1" x14ac:dyDescent="0.35">
      <c r="B224" s="2" t="str">
        <f>IF(SUM(I$225:K$231)&gt;0,"SI","NO")</f>
        <v>NO</v>
      </c>
      <c r="C224" s="400" t="s">
        <v>1355</v>
      </c>
      <c r="D224" s="400"/>
      <c r="E224" s="1396" t="s">
        <v>1352</v>
      </c>
      <c r="F224" s="1397" t="s">
        <v>750</v>
      </c>
      <c r="G224" s="1398"/>
      <c r="H224" s="400"/>
      <c r="I224" s="1396" t="s">
        <v>1035</v>
      </c>
      <c r="J224" s="1397"/>
      <c r="K224" s="1398"/>
    </row>
    <row r="225" spans="1:11" x14ac:dyDescent="0.35">
      <c r="A225" s="1" t="s">
        <v>1458</v>
      </c>
      <c r="B225" s="2" t="str">
        <f t="shared" ref="B225:B231" si="6">IF(SUM(I225:K225)&gt;0,"SI","NO")</f>
        <v>NO</v>
      </c>
      <c r="C225" s="390" t="s">
        <v>1293</v>
      </c>
      <c r="D225" s="390" t="s">
        <v>770</v>
      </c>
      <c r="E225" s="1399" t="s">
        <v>1294</v>
      </c>
      <c r="F225" s="1400"/>
      <c r="G225" s="1400"/>
      <c r="H225" s="407"/>
      <c r="I225" s="406"/>
      <c r="J225" s="418">
        <v>0</v>
      </c>
      <c r="K225" s="407"/>
    </row>
    <row r="226" spans="1:11" x14ac:dyDescent="0.35">
      <c r="A226" s="1" t="s">
        <v>1459</v>
      </c>
      <c r="B226" s="2" t="str">
        <f t="shared" si="6"/>
        <v>NO</v>
      </c>
      <c r="C226" s="390" t="s">
        <v>1293</v>
      </c>
      <c r="D226" s="390" t="s">
        <v>770</v>
      </c>
      <c r="E226" s="1399" t="s">
        <v>1295</v>
      </c>
      <c r="F226" s="1400"/>
      <c r="G226" s="1400"/>
      <c r="H226" s="407"/>
      <c r="I226" s="406"/>
      <c r="J226" s="418">
        <v>0</v>
      </c>
      <c r="K226" s="407"/>
    </row>
    <row r="227" spans="1:11" x14ac:dyDescent="0.35">
      <c r="A227" s="1" t="s">
        <v>1460</v>
      </c>
      <c r="B227" s="2" t="str">
        <f t="shared" si="6"/>
        <v>NO</v>
      </c>
      <c r="C227" s="390" t="s">
        <v>1293</v>
      </c>
      <c r="D227" s="390" t="s">
        <v>770</v>
      </c>
      <c r="E227" s="1399" t="s">
        <v>1356</v>
      </c>
      <c r="F227" s="1400"/>
      <c r="G227" s="1400"/>
      <c r="H227" s="407"/>
      <c r="I227" s="406"/>
      <c r="J227" s="418">
        <v>0</v>
      </c>
      <c r="K227" s="407"/>
    </row>
    <row r="228" spans="1:11" x14ac:dyDescent="0.35">
      <c r="A228" s="1" t="s">
        <v>1461</v>
      </c>
      <c r="B228" s="2" t="str">
        <f t="shared" si="6"/>
        <v>NO</v>
      </c>
      <c r="C228" s="390" t="s">
        <v>1293</v>
      </c>
      <c r="D228" s="390" t="s">
        <v>770</v>
      </c>
      <c r="E228" s="1399" t="s">
        <v>1296</v>
      </c>
      <c r="F228" s="1400"/>
      <c r="G228" s="1400"/>
      <c r="H228" s="407"/>
      <c r="I228" s="406"/>
      <c r="J228" s="418">
        <v>0</v>
      </c>
      <c r="K228" s="407"/>
    </row>
    <row r="229" spans="1:11" x14ac:dyDescent="0.35">
      <c r="A229" s="1" t="s">
        <v>1462</v>
      </c>
      <c r="B229" s="2" t="str">
        <f t="shared" si="6"/>
        <v>NO</v>
      </c>
      <c r="C229" s="390" t="s">
        <v>1293</v>
      </c>
      <c r="D229" s="390" t="s">
        <v>770</v>
      </c>
      <c r="E229" s="1399" t="s">
        <v>1357</v>
      </c>
      <c r="F229" s="1400"/>
      <c r="G229" s="1400"/>
      <c r="H229" s="407"/>
      <c r="I229" s="406"/>
      <c r="J229" s="418">
        <v>0</v>
      </c>
      <c r="K229" s="407"/>
    </row>
    <row r="230" spans="1:11" x14ac:dyDescent="0.35">
      <c r="A230" s="1" t="s">
        <v>1463</v>
      </c>
      <c r="B230" s="2" t="str">
        <f t="shared" si="6"/>
        <v>NO</v>
      </c>
      <c r="C230" s="390" t="s">
        <v>1293</v>
      </c>
      <c r="D230" s="390" t="s">
        <v>770</v>
      </c>
      <c r="E230" s="1399" t="s">
        <v>1358</v>
      </c>
      <c r="F230" s="1400"/>
      <c r="G230" s="1400"/>
      <c r="H230" s="407"/>
      <c r="I230" s="406"/>
      <c r="J230" s="418">
        <v>0</v>
      </c>
      <c r="K230" s="407"/>
    </row>
    <row r="231" spans="1:11" x14ac:dyDescent="0.35">
      <c r="A231" s="1" t="s">
        <v>1464</v>
      </c>
      <c r="B231" s="2" t="str">
        <f t="shared" si="6"/>
        <v>NO</v>
      </c>
      <c r="C231" s="390" t="s">
        <v>1293</v>
      </c>
      <c r="D231" s="417" t="s">
        <v>1408</v>
      </c>
      <c r="E231" s="1399" t="s">
        <v>1359</v>
      </c>
      <c r="F231" s="1400"/>
      <c r="G231" s="1400"/>
      <c r="H231" s="407"/>
      <c r="I231" s="406"/>
      <c r="J231" s="418">
        <v>0</v>
      </c>
      <c r="K231" s="407"/>
    </row>
    <row r="232" spans="1:11" s="392" customFormat="1" x14ac:dyDescent="0.35">
      <c r="B232" s="2" t="str">
        <f>IF(SUM(I$225:K$231)&gt;0,"SI","NO")</f>
        <v>NO</v>
      </c>
      <c r="C232" s="396"/>
      <c r="D232" s="397"/>
      <c r="E232" s="398"/>
      <c r="F232" s="398"/>
      <c r="G232" s="414"/>
      <c r="H232" s="399" t="s">
        <v>1412</v>
      </c>
      <c r="I232" s="406"/>
      <c r="J232" s="419">
        <f>SUMIF($D225:$D231,"+",J225:J231)-SUMIF($D225:$D231,"-",J225:J231)</f>
        <v>0</v>
      </c>
      <c r="K232" s="409"/>
    </row>
    <row r="233" spans="1:11" x14ac:dyDescent="0.35">
      <c r="B233" s="2" t="str">
        <f>IF(SUM(I$225:K$231)&gt;0,"SI","NO")</f>
        <v>NO</v>
      </c>
    </row>
    <row r="234" spans="1:11" x14ac:dyDescent="0.35">
      <c r="B234" s="2" t="str">
        <f>IF(SUM(I$236:K$237)&gt;0,"SI","NO")</f>
        <v>NO</v>
      </c>
      <c r="C234" s="1393" t="s">
        <v>1360</v>
      </c>
      <c r="D234" s="1394"/>
      <c r="E234" s="1394"/>
      <c r="F234" s="1394"/>
      <c r="G234" s="1394"/>
      <c r="H234" s="1394"/>
      <c r="I234" s="1394"/>
      <c r="J234" s="1394"/>
      <c r="K234" s="1395"/>
    </row>
    <row r="235" spans="1:11" s="402" customFormat="1" x14ac:dyDescent="0.35">
      <c r="B235" s="2" t="str">
        <f>IF(SUM(I$236:K$237)&gt;0,"SI","NO")</f>
        <v>NO</v>
      </c>
      <c r="C235" s="400" t="s">
        <v>1355</v>
      </c>
      <c r="D235" s="400"/>
      <c r="E235" s="1396" t="s">
        <v>1361</v>
      </c>
      <c r="F235" s="1397" t="s">
        <v>750</v>
      </c>
      <c r="G235" s="1397"/>
      <c r="H235" s="415"/>
      <c r="I235" s="1396" t="s">
        <v>1035</v>
      </c>
      <c r="J235" s="1397"/>
      <c r="K235" s="1398"/>
    </row>
    <row r="236" spans="1:11" x14ac:dyDescent="0.35">
      <c r="A236" s="1" t="s">
        <v>1465</v>
      </c>
      <c r="B236" s="2" t="str">
        <f>IF(SUM(I236:K236)&gt;0,"SI","NO")</f>
        <v>NO</v>
      </c>
      <c r="C236" s="390" t="s">
        <v>1297</v>
      </c>
      <c r="D236" s="390" t="s">
        <v>770</v>
      </c>
      <c r="E236" s="1399" t="s">
        <v>1362</v>
      </c>
      <c r="F236" s="1400"/>
      <c r="G236" s="1400"/>
      <c r="H236" s="407"/>
      <c r="I236" s="406"/>
      <c r="J236" s="418">
        <v>0</v>
      </c>
      <c r="K236" s="407"/>
    </row>
    <row r="237" spans="1:11" x14ac:dyDescent="0.35">
      <c r="A237" s="1" t="s">
        <v>1466</v>
      </c>
      <c r="B237" s="2" t="str">
        <f>IF(SUM(I237:K237)&gt;0,"SI","NO")</f>
        <v>NO</v>
      </c>
      <c r="C237" s="390" t="s">
        <v>1297</v>
      </c>
      <c r="D237" s="390" t="s">
        <v>770</v>
      </c>
      <c r="E237" s="1399" t="s">
        <v>1363</v>
      </c>
      <c r="F237" s="1400"/>
      <c r="G237" s="1400"/>
      <c r="H237" s="407"/>
      <c r="I237" s="406"/>
      <c r="J237" s="418">
        <v>0</v>
      </c>
      <c r="K237" s="407"/>
    </row>
    <row r="238" spans="1:11" s="392" customFormat="1" x14ac:dyDescent="0.35">
      <c r="B238" s="2" t="str">
        <f>IF(SUM(I$236:K$237)&gt;0,"SI","NO")</f>
        <v>NO</v>
      </c>
      <c r="C238" s="396"/>
      <c r="D238" s="397"/>
      <c r="E238" s="398"/>
      <c r="F238" s="398"/>
      <c r="G238" s="414"/>
      <c r="H238" s="399" t="s">
        <v>1412</v>
      </c>
      <c r="I238" s="406"/>
      <c r="J238" s="419">
        <f>SUMIF($D236:$D237,"+",J236:J237)-SUMIF($D236:$D237,"-",J236:J237)</f>
        <v>0</v>
      </c>
      <c r="K238" s="407"/>
    </row>
    <row r="239" spans="1:11" x14ac:dyDescent="0.35">
      <c r="B239" s="2" t="str">
        <f>IF(SUM(I$236:K$237)&gt;0,"SI","NO")</f>
        <v>NO</v>
      </c>
    </row>
    <row r="240" spans="1:11" x14ac:dyDescent="0.35">
      <c r="B240" s="2" t="str">
        <f>IF(SUM(I$242:K$244)&gt;0,"SI","NO")</f>
        <v>NO</v>
      </c>
      <c r="C240" s="1393" t="s">
        <v>1364</v>
      </c>
      <c r="D240" s="1394"/>
      <c r="E240" s="1394"/>
      <c r="F240" s="1394"/>
      <c r="G240" s="1394"/>
      <c r="H240" s="1394"/>
      <c r="I240" s="1394"/>
      <c r="J240" s="1394"/>
      <c r="K240" s="1395"/>
    </row>
    <row r="241" spans="1:11" s="402" customFormat="1" ht="29" x14ac:dyDescent="0.35">
      <c r="B241" s="2" t="str">
        <f>IF(SUM(I$242:K$244)&gt;0,"SI","NO")</f>
        <v>NO</v>
      </c>
      <c r="C241" s="400" t="s">
        <v>1300</v>
      </c>
      <c r="D241" s="400"/>
      <c r="E241" s="1405" t="s">
        <v>1286</v>
      </c>
      <c r="F241" s="1406"/>
      <c r="G241" s="1406"/>
      <c r="H241" s="1407"/>
      <c r="I241" s="401" t="s">
        <v>1301</v>
      </c>
      <c r="J241" s="401" t="s">
        <v>1365</v>
      </c>
      <c r="K241" s="401" t="s">
        <v>1302</v>
      </c>
    </row>
    <row r="242" spans="1:11" x14ac:dyDescent="0.35">
      <c r="A242" s="1" t="s">
        <v>1456</v>
      </c>
      <c r="B242" s="2" t="str">
        <f>IF(SUM(I242:K242)&gt;0,"SI","NO")</f>
        <v>NO</v>
      </c>
      <c r="C242" s="390" t="s">
        <v>623</v>
      </c>
      <c r="D242" s="390" t="s">
        <v>770</v>
      </c>
      <c r="E242" s="1390" t="s">
        <v>1366</v>
      </c>
      <c r="F242" s="1390"/>
      <c r="G242" s="1390"/>
      <c r="H242" s="1390"/>
      <c r="I242" s="423"/>
      <c r="J242" s="420"/>
      <c r="K242" s="420"/>
    </row>
    <row r="243" spans="1:11" x14ac:dyDescent="0.35">
      <c r="A243" s="1" t="s">
        <v>1456</v>
      </c>
      <c r="B243" s="2" t="str">
        <f>IF(SUM(I243:K243)&gt;0,"SI","NO")</f>
        <v>NO</v>
      </c>
      <c r="C243" s="390" t="s">
        <v>624</v>
      </c>
      <c r="D243" s="417" t="s">
        <v>1408</v>
      </c>
      <c r="E243" s="1390" t="s">
        <v>1367</v>
      </c>
      <c r="F243" s="1390"/>
      <c r="G243" s="1390"/>
      <c r="H243" s="1390"/>
      <c r="I243" s="423"/>
      <c r="J243" s="420"/>
      <c r="K243" s="420"/>
    </row>
    <row r="244" spans="1:11" x14ac:dyDescent="0.35">
      <c r="A244" s="1" t="s">
        <v>1456</v>
      </c>
      <c r="B244" s="2" t="str">
        <f>IF(SUM(I244:K244)&gt;0,"SI","NO")</f>
        <v>NO</v>
      </c>
      <c r="C244" s="390" t="s">
        <v>625</v>
      </c>
      <c r="D244" s="390" t="s">
        <v>770</v>
      </c>
      <c r="E244" s="1390" t="s">
        <v>1368</v>
      </c>
      <c r="F244" s="1390"/>
      <c r="G244" s="1390"/>
      <c r="H244" s="1390"/>
      <c r="I244" s="423"/>
      <c r="J244" s="420"/>
      <c r="K244" s="420"/>
    </row>
    <row r="245" spans="1:11" s="392" customFormat="1" x14ac:dyDescent="0.35">
      <c r="B245" s="2" t="str">
        <f>IF(SUM(I$242:K$244)&gt;0,"SI","NO")</f>
        <v>NO</v>
      </c>
      <c r="C245" s="396"/>
      <c r="D245" s="397"/>
      <c r="E245" s="398"/>
      <c r="F245" s="398"/>
      <c r="G245" s="398"/>
      <c r="H245" s="399"/>
      <c r="I245" s="399" t="s">
        <v>1412</v>
      </c>
      <c r="J245" s="419">
        <f>SUMIF($D242:$D244,"+",J242:J244)-SUMIF($D242:$D244,"-",J242:J244)</f>
        <v>0</v>
      </c>
      <c r="K245" s="419">
        <f>SUMIF($D242:$D244,"+",K242:K244)-SUMIF($D242:$D244,"-",K242:K244)</f>
        <v>0</v>
      </c>
    </row>
    <row r="246" spans="1:11" x14ac:dyDescent="0.35">
      <c r="B246" s="2" t="str">
        <f>IF(SUM(I$242:K$244)&gt;0,"SI","NO")</f>
        <v>NO</v>
      </c>
    </row>
    <row r="247" spans="1:11" x14ac:dyDescent="0.35">
      <c r="B247" s="2" t="str">
        <f>IF(SUM(I$249:K$250)&gt;0,"SI","NO")</f>
        <v>NO</v>
      </c>
      <c r="C247" s="1393" t="s">
        <v>1369</v>
      </c>
      <c r="D247" s="1394"/>
      <c r="E247" s="1394"/>
      <c r="F247" s="1394"/>
      <c r="G247" s="1394"/>
      <c r="H247" s="1394"/>
      <c r="I247" s="1394"/>
      <c r="J247" s="1394"/>
      <c r="K247" s="1395"/>
    </row>
    <row r="248" spans="1:11" s="402" customFormat="1" x14ac:dyDescent="0.35">
      <c r="B248" s="2" t="str">
        <f>IF(SUM(I$249:K$250)&gt;0,"SI","NO")</f>
        <v>NO</v>
      </c>
      <c r="C248" s="400" t="s">
        <v>1355</v>
      </c>
      <c r="D248" s="400"/>
      <c r="E248" s="1396" t="s">
        <v>1370</v>
      </c>
      <c r="F248" s="1397"/>
      <c r="G248" s="1397"/>
      <c r="H248" s="415"/>
      <c r="I248" s="1396" t="s">
        <v>1035</v>
      </c>
      <c r="J248" s="1397"/>
      <c r="K248" s="1398"/>
    </row>
    <row r="249" spans="1:11" x14ac:dyDescent="0.35">
      <c r="A249" s="1" t="s">
        <v>1467</v>
      </c>
      <c r="B249" s="2" t="str">
        <f>IF(SUM(I249:K249)&gt;0,"SI","NO")</f>
        <v>NO</v>
      </c>
      <c r="C249" s="390" t="s">
        <v>1371</v>
      </c>
      <c r="D249" s="390" t="s">
        <v>770</v>
      </c>
      <c r="E249" s="1399" t="s">
        <v>1372</v>
      </c>
      <c r="F249" s="1400"/>
      <c r="G249" s="1400"/>
      <c r="H249" s="407"/>
      <c r="I249" s="406"/>
      <c r="J249" s="418">
        <v>0</v>
      </c>
      <c r="K249" s="407"/>
    </row>
    <row r="250" spans="1:11" x14ac:dyDescent="0.35">
      <c r="A250" s="1" t="s">
        <v>1468</v>
      </c>
      <c r="B250" s="2" t="str">
        <f>IF(SUM(I250:K250)&gt;0,"SI","NO")</f>
        <v>NO</v>
      </c>
      <c r="C250" s="390" t="s">
        <v>1371</v>
      </c>
      <c r="D250" s="390" t="s">
        <v>770</v>
      </c>
      <c r="E250" s="1399" t="s">
        <v>1373</v>
      </c>
      <c r="F250" s="1400"/>
      <c r="G250" s="1400"/>
      <c r="H250" s="407"/>
      <c r="I250" s="406"/>
      <c r="J250" s="418">
        <v>0</v>
      </c>
      <c r="K250" s="407"/>
    </row>
    <row r="251" spans="1:11" s="392" customFormat="1" x14ac:dyDescent="0.35">
      <c r="B251" s="2" t="str">
        <f>IF(SUM(I$249:K$250)&gt;0,"SI","NO")</f>
        <v>NO</v>
      </c>
      <c r="C251" s="396"/>
      <c r="D251" s="397"/>
      <c r="E251" s="398"/>
      <c r="F251" s="398"/>
      <c r="G251" s="414"/>
      <c r="H251" s="399" t="s">
        <v>1412</v>
      </c>
      <c r="I251" s="406"/>
      <c r="J251" s="419">
        <f>SUMIF($D249:$D250,"+",J249:J250)-SUMIF($D249:$D250,"-",J249:J250)</f>
        <v>0</v>
      </c>
      <c r="K251" s="407"/>
    </row>
    <row r="252" spans="1:11" x14ac:dyDescent="0.35">
      <c r="B252" s="2" t="str">
        <f>IF(SUM(I$249:K$250)&gt;0,"SI","NO")</f>
        <v>NO</v>
      </c>
    </row>
    <row r="253" spans="1:11" x14ac:dyDescent="0.35">
      <c r="B253" s="2" t="str">
        <f>IF(SUM(I$255:K$288)&gt;0,"SI","NO")</f>
        <v>NO</v>
      </c>
      <c r="C253" s="1393" t="s">
        <v>973</v>
      </c>
      <c r="D253" s="1394"/>
      <c r="E253" s="1394"/>
      <c r="F253" s="1394"/>
      <c r="G253" s="1394"/>
      <c r="H253" s="1394"/>
      <c r="I253" s="1394"/>
      <c r="J253" s="1394"/>
      <c r="K253" s="1395"/>
    </row>
    <row r="254" spans="1:11" s="402" customFormat="1" ht="29" x14ac:dyDescent="0.35">
      <c r="B254" s="2" t="str">
        <f>IF(SUM(I$255:K$282)&gt;0,"SI","NO")</f>
        <v>NO</v>
      </c>
      <c r="C254" s="400" t="s">
        <v>1300</v>
      </c>
      <c r="D254" s="400"/>
      <c r="E254" s="1405" t="s">
        <v>1418</v>
      </c>
      <c r="F254" s="1406"/>
      <c r="G254" s="1406"/>
      <c r="H254" s="1407"/>
      <c r="I254" s="401" t="s">
        <v>1301</v>
      </c>
      <c r="J254" s="401" t="s">
        <v>1353</v>
      </c>
      <c r="K254" s="401" t="s">
        <v>1035</v>
      </c>
    </row>
    <row r="255" spans="1:11" x14ac:dyDescent="0.35">
      <c r="A255" s="1" t="s">
        <v>1472</v>
      </c>
      <c r="B255" s="2" t="str">
        <f t="shared" ref="B255:B282" si="7">IF(SUM(I255:K255)&gt;0,"SI","NO")</f>
        <v>NO</v>
      </c>
      <c r="C255" s="390" t="s">
        <v>1405</v>
      </c>
      <c r="D255" s="390" t="s">
        <v>770</v>
      </c>
      <c r="E255" s="1390" t="s">
        <v>1125</v>
      </c>
      <c r="F255" s="1390"/>
      <c r="G255" s="1390"/>
      <c r="H255" s="1390"/>
      <c r="I255" s="423"/>
      <c r="J255" s="420"/>
      <c r="K255" s="420"/>
    </row>
    <row r="256" spans="1:11" x14ac:dyDescent="0.35">
      <c r="A256" s="1" t="s">
        <v>1472</v>
      </c>
      <c r="B256" s="2" t="str">
        <f t="shared" si="7"/>
        <v>NO</v>
      </c>
      <c r="C256" s="390" t="s">
        <v>107</v>
      </c>
      <c r="D256" s="390" t="s">
        <v>770</v>
      </c>
      <c r="E256" s="1390" t="s">
        <v>1126</v>
      </c>
      <c r="F256" s="1390"/>
      <c r="G256" s="1390"/>
      <c r="H256" s="1390"/>
      <c r="I256" s="423"/>
      <c r="J256" s="420"/>
      <c r="K256" s="420"/>
    </row>
    <row r="257" spans="1:11" x14ac:dyDescent="0.35">
      <c r="A257" s="1" t="s">
        <v>1472</v>
      </c>
      <c r="B257" s="2" t="str">
        <f t="shared" si="7"/>
        <v>NO</v>
      </c>
      <c r="C257" s="390" t="s">
        <v>109</v>
      </c>
      <c r="D257" s="390" t="s">
        <v>770</v>
      </c>
      <c r="E257" s="1390" t="s">
        <v>1127</v>
      </c>
      <c r="F257" s="1390"/>
      <c r="G257" s="1390"/>
      <c r="H257" s="1390"/>
      <c r="I257" s="423"/>
      <c r="J257" s="420"/>
      <c r="K257" s="420"/>
    </row>
    <row r="258" spans="1:11" x14ac:dyDescent="0.35">
      <c r="A258" s="1" t="s">
        <v>1472</v>
      </c>
      <c r="B258" s="2" t="str">
        <f t="shared" si="7"/>
        <v>NO</v>
      </c>
      <c r="C258" s="390" t="s">
        <v>111</v>
      </c>
      <c r="D258" s="390" t="s">
        <v>770</v>
      </c>
      <c r="E258" s="1390" t="s">
        <v>1128</v>
      </c>
      <c r="F258" s="1390"/>
      <c r="G258" s="1390"/>
      <c r="H258" s="1390"/>
      <c r="I258" s="423"/>
      <c r="J258" s="420"/>
      <c r="K258" s="420"/>
    </row>
    <row r="259" spans="1:11" x14ac:dyDescent="0.35">
      <c r="A259" s="1" t="s">
        <v>1472</v>
      </c>
      <c r="B259" s="2" t="str">
        <f t="shared" si="7"/>
        <v>NO</v>
      </c>
      <c r="C259" s="390" t="s">
        <v>113</v>
      </c>
      <c r="D259" s="390" t="s">
        <v>770</v>
      </c>
      <c r="E259" s="1390" t="s">
        <v>1129</v>
      </c>
      <c r="F259" s="1390"/>
      <c r="G259" s="1390"/>
      <c r="H259" s="1390"/>
      <c r="I259" s="423"/>
      <c r="J259" s="420"/>
      <c r="K259" s="420"/>
    </row>
    <row r="260" spans="1:11" x14ac:dyDescent="0.35">
      <c r="A260" s="1" t="s">
        <v>1472</v>
      </c>
      <c r="B260" s="2" t="str">
        <f t="shared" si="7"/>
        <v>NO</v>
      </c>
      <c r="C260" s="390" t="s">
        <v>115</v>
      </c>
      <c r="D260" s="390" t="s">
        <v>770</v>
      </c>
      <c r="E260" s="1390" t="s">
        <v>1130</v>
      </c>
      <c r="F260" s="1390"/>
      <c r="G260" s="1390"/>
      <c r="H260" s="1390"/>
      <c r="I260" s="423"/>
      <c r="J260" s="420"/>
      <c r="K260" s="420"/>
    </row>
    <row r="261" spans="1:11" x14ac:dyDescent="0.35">
      <c r="A261" s="1" t="s">
        <v>1472</v>
      </c>
      <c r="B261" s="2" t="str">
        <f t="shared" si="7"/>
        <v>NO</v>
      </c>
      <c r="C261" s="390" t="s">
        <v>117</v>
      </c>
      <c r="D261" s="390" t="s">
        <v>770</v>
      </c>
      <c r="E261" s="1390" t="s">
        <v>1131</v>
      </c>
      <c r="F261" s="1390"/>
      <c r="G261" s="1390"/>
      <c r="H261" s="1390"/>
      <c r="I261" s="423"/>
      <c r="J261" s="420"/>
      <c r="K261" s="420"/>
    </row>
    <row r="262" spans="1:11" x14ac:dyDescent="0.35">
      <c r="A262" s="1" t="s">
        <v>1472</v>
      </c>
      <c r="B262" s="2" t="str">
        <f t="shared" si="7"/>
        <v>NO</v>
      </c>
      <c r="C262" s="390" t="s">
        <v>119</v>
      </c>
      <c r="D262" s="390" t="s">
        <v>770</v>
      </c>
      <c r="E262" s="1390" t="s">
        <v>1132</v>
      </c>
      <c r="F262" s="1390"/>
      <c r="G262" s="1390"/>
      <c r="H262" s="1390"/>
      <c r="I262" s="423"/>
      <c r="J262" s="420"/>
      <c r="K262" s="420"/>
    </row>
    <row r="263" spans="1:11" x14ac:dyDescent="0.35">
      <c r="A263" s="1" t="s">
        <v>1472</v>
      </c>
      <c r="B263" s="2" t="str">
        <f t="shared" si="7"/>
        <v>NO</v>
      </c>
      <c r="C263" s="390" t="s">
        <v>121</v>
      </c>
      <c r="D263" s="390" t="s">
        <v>770</v>
      </c>
      <c r="E263" s="1390" t="s">
        <v>1133</v>
      </c>
      <c r="F263" s="1390"/>
      <c r="G263" s="1390"/>
      <c r="H263" s="1390"/>
      <c r="I263" s="423"/>
      <c r="J263" s="420"/>
      <c r="K263" s="420"/>
    </row>
    <row r="264" spans="1:11" x14ac:dyDescent="0.35">
      <c r="A264" s="1" t="s">
        <v>1472</v>
      </c>
      <c r="B264" s="2" t="str">
        <f t="shared" si="7"/>
        <v>NO</v>
      </c>
      <c r="C264" s="390" t="s">
        <v>123</v>
      </c>
      <c r="D264" s="390" t="s">
        <v>770</v>
      </c>
      <c r="E264" s="1390" t="s">
        <v>1134</v>
      </c>
      <c r="F264" s="1390"/>
      <c r="G264" s="1390"/>
      <c r="H264" s="1390"/>
      <c r="I264" s="423"/>
      <c r="J264" s="420"/>
      <c r="K264" s="420"/>
    </row>
    <row r="265" spans="1:11" x14ac:dyDescent="0.35">
      <c r="A265" s="1" t="s">
        <v>1472</v>
      </c>
      <c r="B265" s="2" t="str">
        <f t="shared" si="7"/>
        <v>NO</v>
      </c>
      <c r="C265" s="390" t="s">
        <v>125</v>
      </c>
      <c r="D265" s="390" t="s">
        <v>770</v>
      </c>
      <c r="E265" s="1390" t="s">
        <v>1135</v>
      </c>
      <c r="F265" s="1390"/>
      <c r="G265" s="1390"/>
      <c r="H265" s="1390"/>
      <c r="I265" s="423"/>
      <c r="J265" s="420"/>
      <c r="K265" s="420"/>
    </row>
    <row r="266" spans="1:11" x14ac:dyDescent="0.35">
      <c r="A266" s="1" t="s">
        <v>1472</v>
      </c>
      <c r="B266" s="2" t="str">
        <f t="shared" si="7"/>
        <v>NO</v>
      </c>
      <c r="C266" s="390" t="s">
        <v>127</v>
      </c>
      <c r="D266" s="390" t="s">
        <v>770</v>
      </c>
      <c r="E266" s="1390" t="s">
        <v>1136</v>
      </c>
      <c r="F266" s="1390"/>
      <c r="G266" s="1390"/>
      <c r="H266" s="1390"/>
      <c r="I266" s="423"/>
      <c r="J266" s="420"/>
      <c r="K266" s="420"/>
    </row>
    <row r="267" spans="1:11" x14ac:dyDescent="0.35">
      <c r="A267" s="1" t="s">
        <v>1472</v>
      </c>
      <c r="B267" s="2" t="str">
        <f t="shared" si="7"/>
        <v>NO</v>
      </c>
      <c r="C267" s="390" t="s">
        <v>129</v>
      </c>
      <c r="D267" s="390" t="s">
        <v>770</v>
      </c>
      <c r="E267" s="1390" t="s">
        <v>1137</v>
      </c>
      <c r="F267" s="1390"/>
      <c r="G267" s="1390"/>
      <c r="H267" s="1390"/>
      <c r="I267" s="423"/>
      <c r="J267" s="420"/>
      <c r="K267" s="420"/>
    </row>
    <row r="268" spans="1:11" x14ac:dyDescent="0.35">
      <c r="A268" s="1" t="s">
        <v>1472</v>
      </c>
      <c r="B268" s="2" t="str">
        <f t="shared" si="7"/>
        <v>NO</v>
      </c>
      <c r="C268" s="390" t="s">
        <v>131</v>
      </c>
      <c r="D268" s="390" t="s">
        <v>770</v>
      </c>
      <c r="E268" s="1390" t="s">
        <v>1138</v>
      </c>
      <c r="F268" s="1390"/>
      <c r="G268" s="1390"/>
      <c r="H268" s="1390"/>
      <c r="I268" s="423"/>
      <c r="J268" s="420"/>
      <c r="K268" s="420"/>
    </row>
    <row r="269" spans="1:11" x14ac:dyDescent="0.35">
      <c r="A269" s="1" t="s">
        <v>1472</v>
      </c>
      <c r="B269" s="2" t="str">
        <f t="shared" si="7"/>
        <v>NO</v>
      </c>
      <c r="C269" s="390" t="s">
        <v>133</v>
      </c>
      <c r="D269" s="390" t="s">
        <v>770</v>
      </c>
      <c r="E269" s="1390" t="s">
        <v>1139</v>
      </c>
      <c r="F269" s="1390"/>
      <c r="G269" s="1390"/>
      <c r="H269" s="1390"/>
      <c r="I269" s="423"/>
      <c r="J269" s="420"/>
      <c r="K269" s="420"/>
    </row>
    <row r="270" spans="1:11" x14ac:dyDescent="0.35">
      <c r="A270" s="1" t="s">
        <v>1472</v>
      </c>
      <c r="B270" s="2" t="str">
        <f t="shared" si="7"/>
        <v>NO</v>
      </c>
      <c r="C270" s="390" t="s">
        <v>1043</v>
      </c>
      <c r="D270" s="390" t="s">
        <v>770</v>
      </c>
      <c r="E270" s="1390" t="s">
        <v>1044</v>
      </c>
      <c r="F270" s="1390"/>
      <c r="G270" s="1390"/>
      <c r="H270" s="1390"/>
      <c r="I270" s="423"/>
      <c r="J270" s="420"/>
      <c r="K270" s="420"/>
    </row>
    <row r="271" spans="1:11" x14ac:dyDescent="0.35">
      <c r="A271" s="1" t="s">
        <v>1472</v>
      </c>
      <c r="B271" s="2" t="str">
        <f t="shared" si="7"/>
        <v>NO</v>
      </c>
      <c r="C271" s="390" t="s">
        <v>1045</v>
      </c>
      <c r="D271" s="390" t="s">
        <v>770</v>
      </c>
      <c r="E271" s="1390" t="s">
        <v>1046</v>
      </c>
      <c r="F271" s="1390"/>
      <c r="G271" s="1390"/>
      <c r="H271" s="1390"/>
      <c r="I271" s="423"/>
      <c r="J271" s="420"/>
      <c r="K271" s="420"/>
    </row>
    <row r="272" spans="1:11" x14ac:dyDescent="0.35">
      <c r="A272" s="1" t="s">
        <v>1472</v>
      </c>
      <c r="B272" s="2" t="str">
        <f t="shared" si="7"/>
        <v>NO</v>
      </c>
      <c r="C272" s="390" t="s">
        <v>1047</v>
      </c>
      <c r="D272" s="390" t="s">
        <v>770</v>
      </c>
      <c r="E272" s="1390" t="s">
        <v>1048</v>
      </c>
      <c r="F272" s="1390"/>
      <c r="G272" s="1390"/>
      <c r="H272" s="1390"/>
      <c r="I272" s="423"/>
      <c r="J272" s="420"/>
      <c r="K272" s="420"/>
    </row>
    <row r="273" spans="1:11" x14ac:dyDescent="0.35">
      <c r="A273" s="1" t="s">
        <v>1472</v>
      </c>
      <c r="B273" s="2" t="str">
        <f t="shared" si="7"/>
        <v>NO</v>
      </c>
      <c r="C273" s="390" t="s">
        <v>135</v>
      </c>
      <c r="D273" s="390" t="s">
        <v>770</v>
      </c>
      <c r="E273" s="1390" t="s">
        <v>1140</v>
      </c>
      <c r="F273" s="1390"/>
      <c r="G273" s="1390"/>
      <c r="H273" s="1390"/>
      <c r="I273" s="423"/>
      <c r="J273" s="420"/>
      <c r="K273" s="420"/>
    </row>
    <row r="274" spans="1:11" x14ac:dyDescent="0.35">
      <c r="A274" s="1" t="s">
        <v>1472</v>
      </c>
      <c r="B274" s="2" t="str">
        <f t="shared" si="7"/>
        <v>NO</v>
      </c>
      <c r="C274" s="390" t="s">
        <v>137</v>
      </c>
      <c r="D274" s="390" t="s">
        <v>770</v>
      </c>
      <c r="E274" s="1390" t="s">
        <v>1141</v>
      </c>
      <c r="F274" s="1390"/>
      <c r="G274" s="1390"/>
      <c r="H274" s="1390"/>
      <c r="I274" s="423"/>
      <c r="J274" s="420"/>
      <c r="K274" s="420"/>
    </row>
    <row r="275" spans="1:11" x14ac:dyDescent="0.35">
      <c r="A275" s="1" t="s">
        <v>1472</v>
      </c>
      <c r="B275" s="2" t="str">
        <f t="shared" si="7"/>
        <v>NO</v>
      </c>
      <c r="C275" s="390" t="s">
        <v>1049</v>
      </c>
      <c r="D275" s="390" t="s">
        <v>770</v>
      </c>
      <c r="E275" s="1390" t="s">
        <v>1050</v>
      </c>
      <c r="F275" s="1390"/>
      <c r="G275" s="1390"/>
      <c r="H275" s="1390"/>
      <c r="I275" s="423"/>
      <c r="J275" s="420"/>
      <c r="K275" s="420"/>
    </row>
    <row r="276" spans="1:11" x14ac:dyDescent="0.35">
      <c r="A276" s="1" t="s">
        <v>1472</v>
      </c>
      <c r="B276" s="2" t="str">
        <f t="shared" si="7"/>
        <v>NO</v>
      </c>
      <c r="C276" s="390" t="s">
        <v>855</v>
      </c>
      <c r="D276" s="390" t="s">
        <v>770</v>
      </c>
      <c r="E276" s="1390" t="s">
        <v>1374</v>
      </c>
      <c r="F276" s="1390"/>
      <c r="G276" s="1390"/>
      <c r="H276" s="1390"/>
      <c r="I276" s="423"/>
      <c r="J276" s="420"/>
      <c r="K276" s="420"/>
    </row>
    <row r="277" spans="1:11" x14ac:dyDescent="0.35">
      <c r="A277" s="1" t="s">
        <v>1472</v>
      </c>
      <c r="B277" s="2" t="str">
        <f t="shared" si="7"/>
        <v>NO</v>
      </c>
      <c r="C277" s="390" t="s">
        <v>187</v>
      </c>
      <c r="D277" s="390" t="s">
        <v>770</v>
      </c>
      <c r="E277" s="1390" t="s">
        <v>1375</v>
      </c>
      <c r="F277" s="1390"/>
      <c r="G277" s="1390"/>
      <c r="H277" s="1390"/>
      <c r="I277" s="423"/>
      <c r="J277" s="420"/>
      <c r="K277" s="420"/>
    </row>
    <row r="278" spans="1:11" x14ac:dyDescent="0.35">
      <c r="A278" s="1" t="s">
        <v>1472</v>
      </c>
      <c r="B278" s="2" t="str">
        <f t="shared" si="7"/>
        <v>NO</v>
      </c>
      <c r="C278" s="390" t="s">
        <v>189</v>
      </c>
      <c r="D278" s="390" t="s">
        <v>770</v>
      </c>
      <c r="E278" s="1390" t="s">
        <v>1376</v>
      </c>
      <c r="F278" s="1390"/>
      <c r="G278" s="1390"/>
      <c r="H278" s="1390"/>
      <c r="I278" s="423"/>
      <c r="J278" s="420"/>
      <c r="K278" s="420"/>
    </row>
    <row r="279" spans="1:11" x14ac:dyDescent="0.35">
      <c r="A279" s="1" t="s">
        <v>1472</v>
      </c>
      <c r="B279" s="2" t="str">
        <f t="shared" si="7"/>
        <v>NO</v>
      </c>
      <c r="C279" s="390" t="s">
        <v>191</v>
      </c>
      <c r="D279" s="390" t="s">
        <v>770</v>
      </c>
      <c r="E279" s="1390" t="s">
        <v>1377</v>
      </c>
      <c r="F279" s="1390"/>
      <c r="G279" s="1390"/>
      <c r="H279" s="1390"/>
      <c r="I279" s="423"/>
      <c r="J279" s="420"/>
      <c r="K279" s="420"/>
    </row>
    <row r="280" spans="1:11" x14ac:dyDescent="0.35">
      <c r="A280" s="1" t="s">
        <v>1472</v>
      </c>
      <c r="B280" s="2" t="str">
        <f t="shared" si="7"/>
        <v>NO</v>
      </c>
      <c r="C280" s="390" t="s">
        <v>193</v>
      </c>
      <c r="D280" s="390" t="s">
        <v>770</v>
      </c>
      <c r="E280" s="1390" t="s">
        <v>1151</v>
      </c>
      <c r="F280" s="1390"/>
      <c r="G280" s="1390"/>
      <c r="H280" s="1390"/>
      <c r="I280" s="423"/>
      <c r="J280" s="420"/>
      <c r="K280" s="420"/>
    </row>
    <row r="281" spans="1:11" x14ac:dyDescent="0.35">
      <c r="A281" s="1" t="s">
        <v>1472</v>
      </c>
      <c r="B281" s="2" t="str">
        <f t="shared" si="7"/>
        <v>NO</v>
      </c>
      <c r="C281" s="390" t="s">
        <v>195</v>
      </c>
      <c r="D281" s="390" t="s">
        <v>770</v>
      </c>
      <c r="E281" s="1390" t="s">
        <v>1152</v>
      </c>
      <c r="F281" s="1390"/>
      <c r="G281" s="1390"/>
      <c r="H281" s="1390"/>
      <c r="I281" s="423"/>
      <c r="J281" s="420"/>
      <c r="K281" s="420"/>
    </row>
    <row r="282" spans="1:11" x14ac:dyDescent="0.35">
      <c r="A282" s="1" t="s">
        <v>1472</v>
      </c>
      <c r="B282" s="2" t="str">
        <f t="shared" si="7"/>
        <v>NO</v>
      </c>
      <c r="C282" s="390" t="s">
        <v>197</v>
      </c>
      <c r="D282" s="390" t="s">
        <v>770</v>
      </c>
      <c r="E282" s="1390" t="s">
        <v>1378</v>
      </c>
      <c r="F282" s="1390"/>
      <c r="G282" s="1390"/>
      <c r="H282" s="1390"/>
      <c r="I282" s="423"/>
      <c r="J282" s="420"/>
      <c r="K282" s="420"/>
    </row>
    <row r="283" spans="1:11" s="392" customFormat="1" x14ac:dyDescent="0.35">
      <c r="B283" s="2" t="str">
        <f>IF(SUM(I$255:K$282)&gt;0,"SI","NO")</f>
        <v>NO</v>
      </c>
      <c r="C283" s="396"/>
      <c r="D283" s="397"/>
      <c r="E283" s="398"/>
      <c r="F283" s="398"/>
      <c r="G283" s="398"/>
      <c r="H283" s="398"/>
      <c r="I283" s="399" t="s">
        <v>1287</v>
      </c>
      <c r="J283" s="419">
        <f>SUMIF($D255:$D282,"+",J255:J282)-SUMIF($D255:$D282,"-",J255:J282)</f>
        <v>0</v>
      </c>
      <c r="K283" s="419">
        <f>SUMIF($D255:$D282,"+",K255:K282)-SUMIF($D255:$D282,"-",K255:K282)</f>
        <v>0</v>
      </c>
    </row>
    <row r="284" spans="1:11" x14ac:dyDescent="0.35">
      <c r="B284" s="2" t="str">
        <f>IF(SUM(I$255:K$282)&gt;0,"SI","NO")</f>
        <v>NO</v>
      </c>
    </row>
    <row r="285" spans="1:11" s="411" customFormat="1" x14ac:dyDescent="0.35">
      <c r="B285" s="2" t="str">
        <f>IF(SUM(I$286:K$287)&gt;0,"SI","NO")</f>
        <v>NO</v>
      </c>
      <c r="C285" s="400" t="s">
        <v>1300</v>
      </c>
      <c r="D285" s="400"/>
      <c r="E285" s="1396" t="s">
        <v>1379</v>
      </c>
      <c r="F285" s="1397"/>
      <c r="G285" s="1397"/>
      <c r="H285" s="1398"/>
      <c r="I285" s="401" t="s">
        <v>1416</v>
      </c>
      <c r="J285" s="1396" t="s">
        <v>1417</v>
      </c>
      <c r="K285" s="1397"/>
    </row>
    <row r="286" spans="1:11" x14ac:dyDescent="0.35">
      <c r="A286" s="1" t="s">
        <v>1471</v>
      </c>
      <c r="B286" s="2" t="str">
        <f>IF(SUM(I286:K286)&gt;0,"SI","NO")</f>
        <v>NO</v>
      </c>
      <c r="C286" s="390"/>
      <c r="D286" s="390" t="s">
        <v>770</v>
      </c>
      <c r="E286" s="1399" t="s">
        <v>1380</v>
      </c>
      <c r="F286" s="1400"/>
      <c r="G286" s="1400"/>
      <c r="H286" s="1411"/>
      <c r="I286" s="420">
        <v>0</v>
      </c>
      <c r="J286" s="1401">
        <v>0</v>
      </c>
      <c r="K286" s="1402"/>
    </row>
    <row r="287" spans="1:11" x14ac:dyDescent="0.35">
      <c r="A287" s="1" t="s">
        <v>1470</v>
      </c>
      <c r="B287" s="2" t="str">
        <f>IF(SUM(I287:K287)&gt;0,"SI","NO")</f>
        <v>NO</v>
      </c>
      <c r="C287" s="390"/>
      <c r="D287" s="390" t="s">
        <v>770</v>
      </c>
      <c r="E287" s="1399" t="s">
        <v>1381</v>
      </c>
      <c r="F287" s="1400"/>
      <c r="G287" s="1400"/>
      <c r="H287" s="1411"/>
      <c r="I287" s="420">
        <v>0</v>
      </c>
      <c r="J287" s="1401">
        <v>0</v>
      </c>
      <c r="K287" s="1402"/>
    </row>
    <row r="288" spans="1:11" s="392" customFormat="1" x14ac:dyDescent="0.35">
      <c r="B288" s="2" t="str">
        <f>IF(SUM(I$286:K$287)&gt;0,"SI","NO")</f>
        <v>NO</v>
      </c>
      <c r="C288" s="1408" t="s">
        <v>1382</v>
      </c>
      <c r="D288" s="1409"/>
      <c r="E288" s="1409"/>
      <c r="F288" s="1409"/>
      <c r="G288" s="1409"/>
      <c r="H288" s="1410"/>
      <c r="I288" s="419">
        <f>SUMIF($D286:$D287,"+",I286:I287)-SUMIF($D286:$D287,"-",I286:I287)</f>
        <v>0</v>
      </c>
      <c r="J288" s="1403">
        <f>SUMIF($D286:$D287,"+",J286:K287)-SUMIF($D286:$D287,"-",J286:K287)</f>
        <v>0</v>
      </c>
      <c r="K288" s="1404"/>
    </row>
    <row r="289" spans="1:11" x14ac:dyDescent="0.35">
      <c r="B289" s="2" t="str">
        <f>IF(SUM(I$286:K$287)&gt;0,"SI","NO")</f>
        <v>NO</v>
      </c>
    </row>
    <row r="290" spans="1:11" x14ac:dyDescent="0.35">
      <c r="B290" s="2" t="str">
        <f>IF(SUM(I$292:K$304)&gt;0,"SI","NO")</f>
        <v>NO</v>
      </c>
      <c r="C290" s="1393" t="s">
        <v>1383</v>
      </c>
      <c r="D290" s="1394"/>
      <c r="E290" s="1394"/>
      <c r="F290" s="1394"/>
      <c r="G290" s="1394"/>
      <c r="H290" s="1394"/>
      <c r="I290" s="1394"/>
      <c r="J290" s="1394"/>
      <c r="K290" s="1395"/>
    </row>
    <row r="291" spans="1:11" s="402" customFormat="1" ht="43.5" x14ac:dyDescent="0.35">
      <c r="B291" s="2" t="str">
        <f>IF(SUM(I$292:K$304)&gt;0,"SI","NO")</f>
        <v>NO</v>
      </c>
      <c r="C291" s="400" t="s">
        <v>1300</v>
      </c>
      <c r="D291" s="400"/>
      <c r="E291" s="1405" t="s">
        <v>1384</v>
      </c>
      <c r="F291" s="1406"/>
      <c r="G291" s="1406"/>
      <c r="H291" s="1407"/>
      <c r="I291" s="401" t="s">
        <v>1301</v>
      </c>
      <c r="J291" s="401" t="s">
        <v>1385</v>
      </c>
      <c r="K291" s="401" t="s">
        <v>1035</v>
      </c>
    </row>
    <row r="292" spans="1:11" x14ac:dyDescent="0.35">
      <c r="A292" s="1" t="s">
        <v>1457</v>
      </c>
      <c r="B292" s="2" t="str">
        <f t="shared" ref="B292:B304" si="8">IF(SUM(I292:K292)&gt;0,"SI","NO")</f>
        <v>NO</v>
      </c>
      <c r="C292" s="390" t="s">
        <v>1473</v>
      </c>
      <c r="D292" s="390" t="s">
        <v>770</v>
      </c>
      <c r="E292" s="1390" t="s">
        <v>1386</v>
      </c>
      <c r="F292" s="1390"/>
      <c r="G292" s="1390"/>
      <c r="H292" s="1390"/>
      <c r="I292" s="423"/>
      <c r="J292" s="420"/>
      <c r="K292" s="420"/>
    </row>
    <row r="293" spans="1:11" x14ac:dyDescent="0.35">
      <c r="A293" s="1" t="s">
        <v>1457</v>
      </c>
      <c r="B293" s="2" t="str">
        <f t="shared" si="8"/>
        <v>NO</v>
      </c>
      <c r="C293" s="390" t="s">
        <v>1474</v>
      </c>
      <c r="D293" s="390" t="s">
        <v>770</v>
      </c>
      <c r="E293" s="1390" t="s">
        <v>1387</v>
      </c>
      <c r="F293" s="1390"/>
      <c r="G293" s="1390"/>
      <c r="H293" s="1390"/>
      <c r="I293" s="423"/>
      <c r="J293" s="420"/>
      <c r="K293" s="420"/>
    </row>
    <row r="294" spans="1:11" x14ac:dyDescent="0.35">
      <c r="A294" s="1" t="s">
        <v>1457</v>
      </c>
      <c r="B294" s="2" t="str">
        <f t="shared" si="8"/>
        <v>NO</v>
      </c>
      <c r="C294" s="390" t="s">
        <v>1475</v>
      </c>
      <c r="D294" s="390" t="s">
        <v>770</v>
      </c>
      <c r="E294" s="1390" t="s">
        <v>1388</v>
      </c>
      <c r="F294" s="1390"/>
      <c r="G294" s="1390"/>
      <c r="H294" s="1390"/>
      <c r="I294" s="423"/>
      <c r="J294" s="420"/>
      <c r="K294" s="420"/>
    </row>
    <row r="295" spans="1:11" x14ac:dyDescent="0.35">
      <c r="A295" s="1" t="s">
        <v>1457</v>
      </c>
      <c r="B295" s="2" t="str">
        <f t="shared" si="8"/>
        <v>NO</v>
      </c>
      <c r="C295" s="390" t="s">
        <v>1476</v>
      </c>
      <c r="D295" s="390" t="s">
        <v>770</v>
      </c>
      <c r="E295" s="1390" t="s">
        <v>1389</v>
      </c>
      <c r="F295" s="1390"/>
      <c r="G295" s="1390"/>
      <c r="H295" s="1390"/>
      <c r="I295" s="423"/>
      <c r="J295" s="420"/>
      <c r="K295" s="420"/>
    </row>
    <row r="296" spans="1:11" x14ac:dyDescent="0.35">
      <c r="A296" s="1" t="s">
        <v>1457</v>
      </c>
      <c r="B296" s="2" t="str">
        <f t="shared" si="8"/>
        <v>NO</v>
      </c>
      <c r="C296" s="390" t="s">
        <v>1406</v>
      </c>
      <c r="D296" s="390" t="s">
        <v>770</v>
      </c>
      <c r="E296" s="1390" t="s">
        <v>1390</v>
      </c>
      <c r="F296" s="1390"/>
      <c r="G296" s="1390"/>
      <c r="H296" s="1390"/>
      <c r="I296" s="423"/>
      <c r="J296" s="420"/>
      <c r="K296" s="420"/>
    </row>
    <row r="297" spans="1:11" x14ac:dyDescent="0.35">
      <c r="A297" s="1" t="s">
        <v>1457</v>
      </c>
      <c r="B297" s="2" t="str">
        <f t="shared" si="8"/>
        <v>NO</v>
      </c>
      <c r="C297" s="390" t="s">
        <v>618</v>
      </c>
      <c r="D297" s="390" t="s">
        <v>770</v>
      </c>
      <c r="E297" s="1390" t="s">
        <v>1391</v>
      </c>
      <c r="F297" s="1390"/>
      <c r="G297" s="1390"/>
      <c r="H297" s="1390"/>
      <c r="I297" s="423"/>
      <c r="J297" s="420"/>
      <c r="K297" s="420"/>
    </row>
    <row r="298" spans="1:11" x14ac:dyDescent="0.35">
      <c r="A298" s="1" t="s">
        <v>1457</v>
      </c>
      <c r="B298" s="2" t="str">
        <f t="shared" si="8"/>
        <v>NO</v>
      </c>
      <c r="C298" s="390" t="s">
        <v>1311</v>
      </c>
      <c r="D298" s="390" t="s">
        <v>770</v>
      </c>
      <c r="E298" s="1390" t="s">
        <v>1392</v>
      </c>
      <c r="F298" s="1390"/>
      <c r="G298" s="1390"/>
      <c r="H298" s="1390"/>
      <c r="I298" s="423"/>
      <c r="J298" s="420"/>
      <c r="K298" s="420"/>
    </row>
    <row r="299" spans="1:11" x14ac:dyDescent="0.35">
      <c r="A299" s="1" t="s">
        <v>1457</v>
      </c>
      <c r="B299" s="2" t="str">
        <f t="shared" si="8"/>
        <v>NO</v>
      </c>
      <c r="C299" s="390" t="s">
        <v>1313</v>
      </c>
      <c r="D299" s="390" t="s">
        <v>770</v>
      </c>
      <c r="E299" s="1390" t="s">
        <v>1393</v>
      </c>
      <c r="F299" s="1390"/>
      <c r="G299" s="1390"/>
      <c r="H299" s="1390"/>
      <c r="I299" s="423"/>
      <c r="J299" s="420"/>
      <c r="K299" s="420"/>
    </row>
    <row r="300" spans="1:11" x14ac:dyDescent="0.35">
      <c r="A300" s="1" t="s">
        <v>1457</v>
      </c>
      <c r="B300" s="2" t="str">
        <f t="shared" si="8"/>
        <v>NO</v>
      </c>
      <c r="C300" s="390" t="s">
        <v>620</v>
      </c>
      <c r="D300" s="390" t="s">
        <v>770</v>
      </c>
      <c r="E300" s="1390" t="s">
        <v>1394</v>
      </c>
      <c r="F300" s="1390"/>
      <c r="G300" s="1390"/>
      <c r="H300" s="1390"/>
      <c r="I300" s="423"/>
      <c r="J300" s="420"/>
      <c r="K300" s="420"/>
    </row>
    <row r="301" spans="1:11" x14ac:dyDescent="0.35">
      <c r="A301" s="1" t="s">
        <v>1457</v>
      </c>
      <c r="B301" s="2" t="str">
        <f t="shared" si="8"/>
        <v>NO</v>
      </c>
      <c r="C301" s="390" t="s">
        <v>621</v>
      </c>
      <c r="D301" s="390" t="s">
        <v>770</v>
      </c>
      <c r="E301" s="1390" t="s">
        <v>1395</v>
      </c>
      <c r="F301" s="1390"/>
      <c r="G301" s="1390"/>
      <c r="H301" s="1390"/>
      <c r="I301" s="423"/>
      <c r="J301" s="420"/>
      <c r="K301" s="420"/>
    </row>
    <row r="302" spans="1:11" x14ac:dyDescent="0.35">
      <c r="A302" s="1" t="s">
        <v>1457</v>
      </c>
      <c r="B302" s="2" t="str">
        <f t="shared" si="8"/>
        <v>NO</v>
      </c>
      <c r="C302" s="390" t="s">
        <v>1407</v>
      </c>
      <c r="D302" s="390" t="s">
        <v>770</v>
      </c>
      <c r="E302" s="1390" t="s">
        <v>1387</v>
      </c>
      <c r="F302" s="1390"/>
      <c r="G302" s="1390"/>
      <c r="H302" s="1390"/>
      <c r="I302" s="423"/>
      <c r="J302" s="420"/>
      <c r="K302" s="420"/>
    </row>
    <row r="303" spans="1:11" x14ac:dyDescent="0.35">
      <c r="A303" s="1" t="s">
        <v>1457</v>
      </c>
      <c r="B303" s="2" t="str">
        <f t="shared" si="8"/>
        <v>NO</v>
      </c>
      <c r="C303" s="390" t="s">
        <v>622</v>
      </c>
      <c r="D303" s="390" t="s">
        <v>770</v>
      </c>
      <c r="E303" s="1390" t="s">
        <v>1396</v>
      </c>
      <c r="F303" s="1390"/>
      <c r="G303" s="1390"/>
      <c r="H303" s="1390"/>
      <c r="I303" s="423"/>
      <c r="J303" s="420"/>
      <c r="K303" s="420"/>
    </row>
    <row r="304" spans="1:11" x14ac:dyDescent="0.35">
      <c r="A304" s="1" t="s">
        <v>1457</v>
      </c>
      <c r="B304" s="2" t="str">
        <f t="shared" si="8"/>
        <v>NO</v>
      </c>
      <c r="C304" s="390" t="s">
        <v>613</v>
      </c>
      <c r="D304" s="390" t="s">
        <v>770</v>
      </c>
      <c r="E304" s="1390" t="s">
        <v>1397</v>
      </c>
      <c r="F304" s="1390"/>
      <c r="G304" s="1390"/>
      <c r="H304" s="1390"/>
      <c r="I304" s="423"/>
      <c r="J304" s="420"/>
      <c r="K304" s="420"/>
    </row>
    <row r="305" spans="2:11" s="392" customFormat="1" x14ac:dyDescent="0.35">
      <c r="B305" s="2" t="str">
        <f>IF(SUM(I$292:K$304)&gt;0,"SI","NO")</f>
        <v>NO</v>
      </c>
      <c r="C305" s="396"/>
      <c r="D305" s="397"/>
      <c r="E305" s="398"/>
      <c r="F305" s="398"/>
      <c r="G305" s="398"/>
      <c r="H305" s="398"/>
      <c r="I305" s="399" t="s">
        <v>1287</v>
      </c>
      <c r="J305" s="419">
        <f>SUMIF($D292:$D304,"+",J292:J304)-SUMIF($D292:$D304,"-",J292:J304)</f>
        <v>0</v>
      </c>
      <c r="K305" s="419">
        <f>SUMIF($D292:$D304,"+",K292:K304)-SUMIF($D292:$D304,"-",K292:K304)</f>
        <v>0</v>
      </c>
    </row>
    <row r="307" spans="2:11" ht="29.5" customHeight="1" x14ac:dyDescent="0.35">
      <c r="C307" s="427" t="s">
        <v>1398</v>
      </c>
      <c r="D307" s="425"/>
      <c r="E307" s="426"/>
      <c r="F307" s="426"/>
      <c r="G307" s="426"/>
      <c r="H307" s="426"/>
      <c r="I307" s="426"/>
      <c r="J307" s="426"/>
      <c r="K307" s="426"/>
    </row>
    <row r="312" spans="2:11" s="392" customFormat="1" x14ac:dyDescent="0.35">
      <c r="B312" s="424"/>
      <c r="C312" s="412"/>
      <c r="D312" s="413"/>
      <c r="E312" s="392" t="s">
        <v>1298</v>
      </c>
      <c r="G312" s="392" t="s">
        <v>1299</v>
      </c>
    </row>
    <row r="313" spans="2:11" s="392" customFormat="1" x14ac:dyDescent="0.35">
      <c r="B313" s="424"/>
      <c r="C313" s="412"/>
      <c r="D313" s="413"/>
      <c r="E313" s="392" t="s">
        <v>1477</v>
      </c>
      <c r="G313" s="392" t="s">
        <v>1478</v>
      </c>
    </row>
  </sheetData>
  <mergeCells count="192">
    <mergeCell ref="J71:K71"/>
    <mergeCell ref="J72:K72"/>
    <mergeCell ref="J73:K73"/>
    <mergeCell ref="J74:K74"/>
    <mergeCell ref="C82:K82"/>
    <mergeCell ref="C80:K80"/>
    <mergeCell ref="E72:H72"/>
    <mergeCell ref="E73:H73"/>
    <mergeCell ref="G74:H74"/>
    <mergeCell ref="J66:K66"/>
    <mergeCell ref="J67:K67"/>
    <mergeCell ref="J68:K68"/>
    <mergeCell ref="J69:K69"/>
    <mergeCell ref="J70:K70"/>
    <mergeCell ref="E294:H294"/>
    <mergeCell ref="E295:H295"/>
    <mergeCell ref="E296:H296"/>
    <mergeCell ref="E297:H297"/>
    <mergeCell ref="C288:H288"/>
    <mergeCell ref="C290:K290"/>
    <mergeCell ref="E285:H285"/>
    <mergeCell ref="E286:H286"/>
    <mergeCell ref="E287:H287"/>
    <mergeCell ref="J285:K285"/>
    <mergeCell ref="E282:H282"/>
    <mergeCell ref="E272:H272"/>
    <mergeCell ref="E273:H273"/>
    <mergeCell ref="E274:H274"/>
    <mergeCell ref="E275:H275"/>
    <mergeCell ref="E270:H270"/>
    <mergeCell ref="E271:H271"/>
    <mergeCell ref="E260:H260"/>
    <mergeCell ref="E261:H261"/>
    <mergeCell ref="I248:K248"/>
    <mergeCell ref="E254:H254"/>
    <mergeCell ref="E255:H255"/>
    <mergeCell ref="E94:H94"/>
    <mergeCell ref="E95:H95"/>
    <mergeCell ref="E96:H96"/>
    <mergeCell ref="E97:H97"/>
    <mergeCell ref="E98:H98"/>
    <mergeCell ref="E99:H99"/>
    <mergeCell ref="E107:H107"/>
    <mergeCell ref="E108:H108"/>
    <mergeCell ref="E109:H109"/>
    <mergeCell ref="E110:H110"/>
    <mergeCell ref="E106:H106"/>
    <mergeCell ref="E111:H111"/>
    <mergeCell ref="E112:H112"/>
    <mergeCell ref="E101:H101"/>
    <mergeCell ref="E100:H100"/>
    <mergeCell ref="E102:H102"/>
    <mergeCell ref="E103:H103"/>
    <mergeCell ref="E104:H104"/>
    <mergeCell ref="E105:H105"/>
    <mergeCell ref="E230:G230"/>
    <mergeCell ref="E231:G231"/>
    <mergeCell ref="E228:G228"/>
    <mergeCell ref="E229:G229"/>
    <mergeCell ref="E66:H66"/>
    <mergeCell ref="E67:H67"/>
    <mergeCell ref="E68:H68"/>
    <mergeCell ref="E69:H69"/>
    <mergeCell ref="E70:H70"/>
    <mergeCell ref="E71:H71"/>
    <mergeCell ref="E89:H89"/>
    <mergeCell ref="E90:H90"/>
    <mergeCell ref="E91:H91"/>
    <mergeCell ref="E92:H92"/>
    <mergeCell ref="E93:H93"/>
    <mergeCell ref="E83:H83"/>
    <mergeCell ref="E87:H87"/>
    <mergeCell ref="E88:H88"/>
    <mergeCell ref="E84:H84"/>
    <mergeCell ref="E85:H85"/>
    <mergeCell ref="E86:H86"/>
    <mergeCell ref="J287:K287"/>
    <mergeCell ref="J288:K288"/>
    <mergeCell ref="E291:H291"/>
    <mergeCell ref="E292:H292"/>
    <mergeCell ref="E293:H293"/>
    <mergeCell ref="E276:H276"/>
    <mergeCell ref="E277:H277"/>
    <mergeCell ref="E278:H278"/>
    <mergeCell ref="E279:H279"/>
    <mergeCell ref="E280:H280"/>
    <mergeCell ref="E281:H281"/>
    <mergeCell ref="J286:K286"/>
    <mergeCell ref="E298:H298"/>
    <mergeCell ref="E299:H299"/>
    <mergeCell ref="E300:H300"/>
    <mergeCell ref="E301:H301"/>
    <mergeCell ref="E302:H302"/>
    <mergeCell ref="E303:H303"/>
    <mergeCell ref="E264:H264"/>
    <mergeCell ref="E265:H265"/>
    <mergeCell ref="E266:H266"/>
    <mergeCell ref="E267:H267"/>
    <mergeCell ref="E268:H268"/>
    <mergeCell ref="E269:H269"/>
    <mergeCell ref="E262:H262"/>
    <mergeCell ref="E263:H263"/>
    <mergeCell ref="E258:H258"/>
    <mergeCell ref="E259:H259"/>
    <mergeCell ref="C234:K234"/>
    <mergeCell ref="E224:G224"/>
    <mergeCell ref="E225:G225"/>
    <mergeCell ref="E226:G226"/>
    <mergeCell ref="E227:G227"/>
    <mergeCell ref="I224:K224"/>
    <mergeCell ref="I235:K235"/>
    <mergeCell ref="E241:H241"/>
    <mergeCell ref="E242:H242"/>
    <mergeCell ref="C247:K247"/>
    <mergeCell ref="E248:G248"/>
    <mergeCell ref="E249:G249"/>
    <mergeCell ref="E250:G250"/>
    <mergeCell ref="C253:K253"/>
    <mergeCell ref="C240:K240"/>
    <mergeCell ref="E243:H243"/>
    <mergeCell ref="E244:H244"/>
    <mergeCell ref="E235:G235"/>
    <mergeCell ref="E236:G236"/>
    <mergeCell ref="E237:G237"/>
    <mergeCell ref="E113:H113"/>
    <mergeCell ref="E114:H114"/>
    <mergeCell ref="E115:H115"/>
    <mergeCell ref="E116:H116"/>
    <mergeCell ref="E117:H117"/>
    <mergeCell ref="E118:H118"/>
    <mergeCell ref="E119:H119"/>
    <mergeCell ref="E120:H120"/>
    <mergeCell ref="E304:H304"/>
    <mergeCell ref="E256:H256"/>
    <mergeCell ref="E257:H257"/>
    <mergeCell ref="G221:H221"/>
    <mergeCell ref="C223:K223"/>
    <mergeCell ref="E125:H125"/>
    <mergeCell ref="E126:H126"/>
    <mergeCell ref="E127:H127"/>
    <mergeCell ref="E128:H128"/>
    <mergeCell ref="E129:H129"/>
    <mergeCell ref="E130:H130"/>
    <mergeCell ref="E121:H121"/>
    <mergeCell ref="E122:H122"/>
    <mergeCell ref="E123:H123"/>
    <mergeCell ref="E124:H124"/>
    <mergeCell ref="E137:H137"/>
    <mergeCell ref="E138:H138"/>
    <mergeCell ref="E139:H139"/>
    <mergeCell ref="E140:H140"/>
    <mergeCell ref="E141:H141"/>
    <mergeCell ref="E142:H142"/>
    <mergeCell ref="E131:H131"/>
    <mergeCell ref="E133:H133"/>
    <mergeCell ref="E134:H134"/>
    <mergeCell ref="E135:H135"/>
    <mergeCell ref="E136:H136"/>
    <mergeCell ref="E132:H132"/>
    <mergeCell ref="E151:H151"/>
    <mergeCell ref="E152:H152"/>
    <mergeCell ref="E153:H153"/>
    <mergeCell ref="E154:H154"/>
    <mergeCell ref="E143:H143"/>
    <mergeCell ref="E144:H144"/>
    <mergeCell ref="E145:H145"/>
    <mergeCell ref="E146:H146"/>
    <mergeCell ref="E147:H147"/>
    <mergeCell ref="E148:H148"/>
    <mergeCell ref="E149:H149"/>
    <mergeCell ref="E150:H150"/>
    <mergeCell ref="E173:H173"/>
    <mergeCell ref="E174:H174"/>
    <mergeCell ref="E175:H175"/>
    <mergeCell ref="E167:H167"/>
    <mergeCell ref="E168:H168"/>
    <mergeCell ref="E169:H169"/>
    <mergeCell ref="E170:H170"/>
    <mergeCell ref="E171:H171"/>
    <mergeCell ref="E172:H172"/>
    <mergeCell ref="E161:H161"/>
    <mergeCell ref="E162:H162"/>
    <mergeCell ref="E163:H163"/>
    <mergeCell ref="E164:H164"/>
    <mergeCell ref="E165:H165"/>
    <mergeCell ref="E166:H166"/>
    <mergeCell ref="E155:H155"/>
    <mergeCell ref="E156:H156"/>
    <mergeCell ref="E157:H157"/>
    <mergeCell ref="E158:H158"/>
    <mergeCell ref="E159:H159"/>
    <mergeCell ref="E160:H160"/>
  </mergeCells>
  <pageMargins left="0.19685039370078741" right="0.19685039370078741" top="0.59055118110236227" bottom="0.39370078740157483" header="0.31496062992125984" footer="0.31496062992125984"/>
  <pageSetup paperSize="9" scale="33" fitToHeight="2" orientation="portrait" r:id="rId1"/>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BEF3E-5C7D-4350-B3A9-04583EE37CE1}">
  <dimension ref="A1:V9"/>
  <sheetViews>
    <sheetView showGridLines="0" zoomScaleNormal="100" workbookViewId="0">
      <pane xSplit="2" ySplit="6" topLeftCell="C7" activePane="bottomRight" state="frozen"/>
      <selection activeCell="J18" sqref="J18"/>
      <selection pane="topRight" activeCell="J18" sqref="J18"/>
      <selection pane="bottomLeft" activeCell="J18" sqref="J18"/>
      <selection pane="bottomRight" activeCell="C7" sqref="C7"/>
    </sheetView>
  </sheetViews>
  <sheetFormatPr baseColWidth="10" defaultColWidth="11.453125" defaultRowHeight="11.5" x14ac:dyDescent="0.25"/>
  <cols>
    <col min="1" max="1" width="12.54296875" style="355" customWidth="1"/>
    <col min="2" max="2" width="25.81640625" style="355" customWidth="1"/>
    <col min="3" max="3" width="7.453125" style="356" customWidth="1"/>
    <col min="4" max="4" width="11.453125" style="357"/>
    <col min="5" max="5" width="11.1796875" style="355" customWidth="1"/>
    <col min="6" max="6" width="15.7265625" style="355" bestFit="1" customWidth="1"/>
    <col min="7" max="7" width="13.1796875" style="355" customWidth="1"/>
    <col min="8" max="8" width="11.26953125" style="358" customWidth="1"/>
    <col min="9" max="10" width="12.1796875" style="326" customWidth="1"/>
    <col min="11" max="11" width="9.453125" style="326" customWidth="1"/>
    <col min="12" max="12" width="9.1796875" style="326" customWidth="1"/>
    <col min="13" max="13" width="12.1796875" style="326" customWidth="1"/>
    <col min="14" max="14" width="1.453125" style="326" customWidth="1"/>
    <col min="15" max="20" width="12.1796875" style="326" customWidth="1"/>
    <col min="21" max="21" width="12.81640625" style="326" customWidth="1"/>
    <col min="22" max="22" width="40.1796875" style="355" customWidth="1"/>
    <col min="23" max="16384" width="11.453125" style="357"/>
  </cols>
  <sheetData>
    <row r="1" spans="1:22" ht="20" x14ac:dyDescent="0.25">
      <c r="A1" s="428" t="str">
        <f>Parametros!D4&amp;" - "&amp;Parametros!D5</f>
        <v>1306304542001 - VELIZ NAPA JAVIER</v>
      </c>
      <c r="I1" s="355"/>
      <c r="J1" s="355"/>
      <c r="K1" s="355"/>
      <c r="L1" s="355"/>
      <c r="M1" s="355"/>
      <c r="N1" s="355"/>
      <c r="O1" s="355"/>
      <c r="P1" s="355"/>
      <c r="Q1" s="355"/>
      <c r="R1" s="355"/>
      <c r="S1" s="355"/>
      <c r="T1" s="355"/>
      <c r="U1" s="355"/>
    </row>
    <row r="2" spans="1:22" ht="19" customHeight="1" x14ac:dyDescent="0.25">
      <c r="A2" s="375" t="s">
        <v>1225</v>
      </c>
      <c r="E2" s="357"/>
      <c r="F2" s="360"/>
      <c r="H2" s="355"/>
      <c r="I2" s="355"/>
      <c r="J2" s="355"/>
      <c r="K2" s="355"/>
      <c r="L2" s="355"/>
      <c r="M2" s="355"/>
      <c r="N2" s="355"/>
    </row>
    <row r="3" spans="1:22" ht="19" customHeight="1" thickBot="1" x14ac:dyDescent="0.3">
      <c r="A3" s="359"/>
      <c r="E3" s="357"/>
      <c r="F3" s="360"/>
      <c r="H3" s="355"/>
      <c r="I3" s="355"/>
      <c r="J3" s="355"/>
      <c r="K3" s="355"/>
      <c r="L3" s="355"/>
      <c r="M3" s="355"/>
      <c r="N3" s="355"/>
      <c r="O3" s="355"/>
      <c r="P3" s="355"/>
      <c r="Q3" s="355"/>
      <c r="R3" s="355"/>
      <c r="S3" s="355"/>
      <c r="T3" s="355"/>
      <c r="U3" s="355"/>
    </row>
    <row r="4" spans="1:22" s="825" customFormat="1" ht="19" customHeight="1" thickBot="1" x14ac:dyDescent="0.4">
      <c r="A4" s="359"/>
      <c r="B4" s="823"/>
      <c r="C4" s="824"/>
      <c r="F4" s="826"/>
      <c r="G4" s="826"/>
      <c r="H4" s="827"/>
      <c r="I4" s="823"/>
      <c r="J4" s="823"/>
      <c r="K4" s="823"/>
      <c r="L4" s="823"/>
      <c r="M4" s="823"/>
      <c r="N4" s="823"/>
      <c r="O4" s="828" t="s">
        <v>2231</v>
      </c>
      <c r="P4" s="829"/>
      <c r="Q4" s="829"/>
      <c r="R4" s="829"/>
      <c r="S4" s="829"/>
      <c r="T4" s="829"/>
      <c r="U4" s="830"/>
      <c r="V4" s="823"/>
    </row>
    <row r="5" spans="1:22" ht="16.5" customHeight="1" thickBot="1" x14ac:dyDescent="0.3">
      <c r="A5" s="794"/>
      <c r="B5" s="795"/>
      <c r="C5" s="796"/>
      <c r="D5" s="797"/>
      <c r="E5" s="797"/>
      <c r="F5" s="798"/>
      <c r="G5" s="798"/>
      <c r="H5" s="799"/>
      <c r="I5" s="902">
        <f>SUBTOTAL(9,I$7:I4875)</f>
        <v>0</v>
      </c>
      <c r="J5" s="902">
        <f>SUBTOTAL(9,J$7:J4875)</f>
        <v>0</v>
      </c>
      <c r="K5" s="902">
        <f>SUBTOTAL(9,K$7:K4875)</f>
        <v>0</v>
      </c>
      <c r="L5" s="902">
        <f>SUBTOTAL(9,L$7:L4875)</f>
        <v>0</v>
      </c>
      <c r="M5" s="903">
        <f>SUBTOTAL(9,M$7:M4875)</f>
        <v>0</v>
      </c>
      <c r="N5" s="901"/>
      <c r="O5" s="831">
        <f>SUBTOTAL(9,O$7:O4875)</f>
        <v>0</v>
      </c>
      <c r="P5" s="831">
        <f>SUBTOTAL(9,P$7:P4875)</f>
        <v>0</v>
      </c>
      <c r="Q5" s="831">
        <f>SUBTOTAL(9,Q$7:Q4875)</f>
        <v>0</v>
      </c>
      <c r="R5" s="831">
        <f>SUBTOTAL(9,R$7:R4875)</f>
        <v>0</v>
      </c>
      <c r="S5" s="831">
        <f>SUBTOTAL(9,S$7:S4875)</f>
        <v>0</v>
      </c>
      <c r="T5" s="831">
        <f>SUBTOTAL(9,T$7:T4875)</f>
        <v>0</v>
      </c>
      <c r="U5" s="831">
        <f>SUBTOTAL(9,U$7:U4875)</f>
        <v>0</v>
      </c>
      <c r="V5" s="1418" t="s">
        <v>743</v>
      </c>
    </row>
    <row r="6" spans="1:22" s="361" customFormat="1" ht="40" customHeight="1" x14ac:dyDescent="0.35">
      <c r="A6" s="853" t="s">
        <v>680</v>
      </c>
      <c r="B6" s="853" t="s">
        <v>682</v>
      </c>
      <c r="C6" s="852" t="s">
        <v>1000</v>
      </c>
      <c r="D6" s="854" t="s">
        <v>1227</v>
      </c>
      <c r="E6" s="855" t="s">
        <v>685</v>
      </c>
      <c r="F6" s="855" t="s">
        <v>688</v>
      </c>
      <c r="G6" s="855" t="s">
        <v>689</v>
      </c>
      <c r="H6" s="855" t="s">
        <v>690</v>
      </c>
      <c r="I6" s="855" t="s">
        <v>1228</v>
      </c>
      <c r="J6" s="855" t="s">
        <v>1229</v>
      </c>
      <c r="K6" s="855" t="s">
        <v>1230</v>
      </c>
      <c r="L6" s="855" t="s">
        <v>1231</v>
      </c>
      <c r="M6" s="855" t="s">
        <v>703</v>
      </c>
      <c r="N6" s="856"/>
      <c r="O6" s="857" t="s">
        <v>2225</v>
      </c>
      <c r="P6" s="857" t="s">
        <v>2226</v>
      </c>
      <c r="Q6" s="857" t="s">
        <v>2227</v>
      </c>
      <c r="R6" s="857" t="s">
        <v>2228</v>
      </c>
      <c r="S6" s="857" t="s">
        <v>2229</v>
      </c>
      <c r="T6" s="857" t="s">
        <v>2230</v>
      </c>
      <c r="U6" s="858" t="s">
        <v>2232</v>
      </c>
      <c r="V6" s="1419"/>
    </row>
    <row r="7" spans="1:22" x14ac:dyDescent="0.25">
      <c r="A7" s="896"/>
      <c r="B7" s="896"/>
      <c r="C7" s="897">
        <v>1</v>
      </c>
      <c r="D7" s="898" t="s">
        <v>1226</v>
      </c>
      <c r="E7" s="896" t="s">
        <v>1032</v>
      </c>
      <c r="F7" s="896"/>
      <c r="G7" s="896"/>
      <c r="H7" s="899">
        <v>46023</v>
      </c>
      <c r="I7" s="900">
        <v>0</v>
      </c>
      <c r="J7" s="900">
        <v>0</v>
      </c>
      <c r="K7" s="900">
        <v>0</v>
      </c>
      <c r="L7" s="900">
        <v>0</v>
      </c>
      <c r="M7" s="900">
        <f>SUM(I7:L7)</f>
        <v>0</v>
      </c>
      <c r="N7" s="900"/>
      <c r="O7" s="900">
        <v>0</v>
      </c>
      <c r="P7" s="900">
        <v>0</v>
      </c>
      <c r="Q7" s="900">
        <v>0</v>
      </c>
      <c r="R7" s="900">
        <v>0</v>
      </c>
      <c r="S7" s="900">
        <v>0</v>
      </c>
      <c r="T7" s="900">
        <v>0</v>
      </c>
      <c r="U7" s="900">
        <f>SUM(O7:T7)</f>
        <v>0</v>
      </c>
      <c r="V7" s="896"/>
    </row>
    <row r="8" spans="1:22" x14ac:dyDescent="0.25">
      <c r="A8" s="896"/>
      <c r="B8" s="896"/>
      <c r="C8" s="897">
        <v>1</v>
      </c>
      <c r="D8" s="898" t="s">
        <v>1226</v>
      </c>
      <c r="E8" s="896" t="s">
        <v>1032</v>
      </c>
      <c r="F8" s="896"/>
      <c r="G8" s="896"/>
      <c r="H8" s="899">
        <v>46023</v>
      </c>
      <c r="I8" s="900">
        <v>0</v>
      </c>
      <c r="J8" s="900">
        <v>0</v>
      </c>
      <c r="K8" s="900">
        <v>0</v>
      </c>
      <c r="L8" s="900">
        <v>0</v>
      </c>
      <c r="M8" s="900">
        <f>SUM(I8:L8)</f>
        <v>0</v>
      </c>
      <c r="N8" s="900"/>
      <c r="O8" s="900">
        <v>0</v>
      </c>
      <c r="P8" s="900">
        <v>0</v>
      </c>
      <c r="Q8" s="900">
        <v>0</v>
      </c>
      <c r="R8" s="900">
        <v>0</v>
      </c>
      <c r="S8" s="900">
        <v>0</v>
      </c>
      <c r="T8" s="900">
        <v>0</v>
      </c>
      <c r="U8" s="900">
        <f>SUM(O8:T8)</f>
        <v>0</v>
      </c>
      <c r="V8" s="896"/>
    </row>
    <row r="9" spans="1:22" x14ac:dyDescent="0.25">
      <c r="A9" s="891"/>
      <c r="B9" s="891"/>
      <c r="C9" s="892">
        <v>1</v>
      </c>
      <c r="D9" s="893" t="s">
        <v>1226</v>
      </c>
      <c r="E9" s="891" t="s">
        <v>1032</v>
      </c>
      <c r="F9" s="891"/>
      <c r="G9" s="891"/>
      <c r="H9" s="894">
        <v>46023</v>
      </c>
      <c r="I9" s="895">
        <v>0</v>
      </c>
      <c r="J9" s="895">
        <v>0</v>
      </c>
      <c r="K9" s="895">
        <v>0</v>
      </c>
      <c r="L9" s="895">
        <v>0</v>
      </c>
      <c r="M9" s="895">
        <f>SUM(I9:L9)</f>
        <v>0</v>
      </c>
      <c r="N9" s="895"/>
      <c r="O9" s="895">
        <v>0</v>
      </c>
      <c r="P9" s="895">
        <v>0</v>
      </c>
      <c r="Q9" s="895">
        <v>0</v>
      </c>
      <c r="R9" s="895">
        <v>0</v>
      </c>
      <c r="S9" s="895">
        <v>0</v>
      </c>
      <c r="T9" s="895">
        <v>0</v>
      </c>
      <c r="U9" s="895">
        <f>SUM(O9:T9)</f>
        <v>0</v>
      </c>
      <c r="V9" s="891"/>
    </row>
  </sheetData>
  <autoFilter ref="A6:V6" xr:uid="{E930E744-3977-4542-AF58-524310E390B6}"/>
  <mergeCells count="1">
    <mergeCell ref="V5:V6"/>
  </mergeCells>
  <conditionalFormatting sqref="A7:V274">
    <cfRule type="expression" dxfId="3" priority="4">
      <formula>ROW()=RowGAS</formula>
    </cfRule>
  </conditionalFormatting>
  <conditionalFormatting sqref="I5:M5">
    <cfRule type="expression" dxfId="2" priority="1">
      <formula>ROW()=RowGAS</formula>
    </cfRule>
  </conditionalFormatting>
  <conditionalFormatting sqref="O5:U5">
    <cfRule type="expression" dxfId="1" priority="2">
      <formula>ROW()=RowGAS</formula>
    </cfRule>
  </conditionalFormatting>
  <conditionalFormatting sqref="P6:T6">
    <cfRule type="expression" dxfId="0" priority="6">
      <formula>ROW()=RowGAS</formula>
    </cfRule>
  </conditionalFormatting>
  <dataValidations count="2">
    <dataValidation type="list" allowBlank="1" showInputMessage="1" showErrorMessage="1" sqref="E7:E1048576" xr:uid="{E5777611-5BF7-4E05-B061-63CAAD82E038}">
      <formula1>ComprobantesCOM</formula1>
    </dataValidation>
    <dataValidation type="list" allowBlank="1" showInputMessage="1" showErrorMessage="1" sqref="D7:D1048576" xr:uid="{DA451516-DE85-45CC-9B26-D34DE4646A8C}">
      <formula1>"F-Fisico,E-Electronico"</formula1>
    </dataValidation>
  </dataValidations>
  <pageMargins left="0.32" right="0.75" top="0.21" bottom="0.33" header="0" footer="0"/>
  <pageSetup paperSize="9" scale="90"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1C5EEA-687B-4893-8293-E371C35D3168}">
  <sheetPr codeName="Hoja23">
    <tabColor theme="0" tint="-0.499984740745262"/>
  </sheetPr>
  <dimension ref="A1:O6"/>
  <sheetViews>
    <sheetView showGridLines="0" zoomScaleNormal="100" workbookViewId="0">
      <pane ySplit="6" topLeftCell="A7" activePane="bottomLeft" state="frozen"/>
      <selection activeCell="A7" sqref="A7"/>
      <selection pane="bottomLeft" activeCell="A7" sqref="A7"/>
    </sheetView>
  </sheetViews>
  <sheetFormatPr baseColWidth="10" defaultColWidth="10.81640625" defaultRowHeight="14.5" x14ac:dyDescent="0.35"/>
  <cols>
    <col min="1" max="2" width="10.7265625" style="478" customWidth="1"/>
    <col min="3" max="3" width="10.7265625" style="480" customWidth="1"/>
    <col min="4" max="4" width="10.7265625" style="478" customWidth="1"/>
    <col min="5" max="5" width="11.1796875" style="478" customWidth="1"/>
    <col min="6" max="6" width="9.54296875" style="478" customWidth="1"/>
    <col min="7" max="7" width="42.1796875" style="484" customWidth="1"/>
    <col min="8" max="8" width="10.81640625" style="481" customWidth="1"/>
    <col min="9" max="9" width="19.54296875" style="478" customWidth="1"/>
    <col min="10" max="10" width="21.26953125" style="478" customWidth="1"/>
    <col min="11" max="11" width="13.54296875" style="478" customWidth="1"/>
    <col min="12" max="12" width="11.1796875" style="478" customWidth="1"/>
    <col min="13" max="13" width="13.453125" style="478" customWidth="1"/>
    <col min="14" max="14" width="14.81640625" style="478" customWidth="1"/>
    <col min="15" max="15" width="16.1796875" style="478" customWidth="1"/>
    <col min="16" max="16384" width="10.81640625" style="1"/>
  </cols>
  <sheetData>
    <row r="1" spans="1:15" s="477" customFormat="1" ht="21.65" customHeight="1" thickBot="1" x14ac:dyDescent="0.4">
      <c r="A1" s="490" t="s">
        <v>2136</v>
      </c>
      <c r="B1" s="474"/>
      <c r="C1" s="473"/>
      <c r="D1" s="474"/>
      <c r="E1" s="474"/>
      <c r="F1" s="474"/>
      <c r="G1" s="489"/>
      <c r="H1" s="488"/>
      <c r="I1" s="474"/>
      <c r="J1" s="474"/>
      <c r="K1" s="475"/>
      <c r="L1" s="474"/>
      <c r="M1" s="475"/>
      <c r="N1" s="475"/>
      <c r="O1" s="475"/>
    </row>
    <row r="2" spans="1:15" s="477" customFormat="1" ht="21.65" hidden="1" customHeight="1" x14ac:dyDescent="0.35">
      <c r="A2" s="490"/>
      <c r="B2" s="474"/>
      <c r="C2" s="473"/>
      <c r="D2" s="474"/>
      <c r="E2" s="474"/>
      <c r="F2" s="474"/>
      <c r="G2" s="489"/>
      <c r="H2" s="488"/>
      <c r="I2" s="474"/>
      <c r="J2" s="474"/>
      <c r="K2" s="475"/>
      <c r="L2" s="474"/>
      <c r="M2" s="475"/>
      <c r="N2" s="475"/>
      <c r="O2" s="475"/>
    </row>
    <row r="3" spans="1:15" s="477" customFormat="1" ht="21.65" hidden="1" customHeight="1" x14ac:dyDescent="0.35">
      <c r="A3" s="490"/>
      <c r="B3" s="474"/>
      <c r="C3" s="473"/>
      <c r="D3" s="474"/>
      <c r="E3" s="474"/>
      <c r="F3" s="474"/>
      <c r="G3" s="489"/>
      <c r="H3" s="488"/>
      <c r="I3" s="474"/>
      <c r="J3" s="474"/>
      <c r="K3" s="475"/>
      <c r="L3" s="474"/>
      <c r="M3" s="475"/>
      <c r="N3" s="475"/>
      <c r="O3" s="475"/>
    </row>
    <row r="4" spans="1:15" s="477" customFormat="1" ht="21.65" hidden="1" customHeight="1" x14ac:dyDescent="0.35">
      <c r="A4" s="490"/>
      <c r="B4" s="474"/>
      <c r="C4" s="473"/>
      <c r="D4" s="474"/>
      <c r="E4" s="474"/>
      <c r="F4" s="474"/>
      <c r="G4" s="489"/>
      <c r="H4" s="488"/>
      <c r="I4" s="474"/>
      <c r="J4" s="474"/>
      <c r="K4" s="475"/>
      <c r="L4" s="474"/>
      <c r="M4" s="475"/>
      <c r="N4" s="475"/>
      <c r="O4" s="475"/>
    </row>
    <row r="5" spans="1:15" s="477" customFormat="1" ht="21.65" hidden="1" customHeight="1" thickBot="1" x14ac:dyDescent="0.4">
      <c r="A5" s="490"/>
      <c r="B5" s="474"/>
      <c r="C5" s="473"/>
      <c r="D5" s="474"/>
      <c r="E5" s="474"/>
      <c r="F5" s="474"/>
      <c r="G5" s="489"/>
      <c r="H5" s="488"/>
      <c r="I5" s="474"/>
      <c r="J5" s="474"/>
      <c r="K5" s="475"/>
      <c r="L5" s="474"/>
      <c r="M5" s="475"/>
      <c r="N5" s="475"/>
      <c r="O5" s="475"/>
    </row>
    <row r="6" spans="1:15" s="486" customFormat="1" ht="23" x14ac:dyDescent="0.35">
      <c r="A6" s="380" t="s">
        <v>1812</v>
      </c>
      <c r="B6" s="380" t="s">
        <v>1811</v>
      </c>
      <c r="C6" s="471" t="s">
        <v>1765</v>
      </c>
      <c r="D6" s="380" t="s">
        <v>1810</v>
      </c>
      <c r="E6" s="380" t="s">
        <v>1802</v>
      </c>
      <c r="F6" s="380" t="s">
        <v>1562</v>
      </c>
      <c r="G6" s="485" t="s">
        <v>1801</v>
      </c>
      <c r="H6" s="347" t="s">
        <v>1813</v>
      </c>
      <c r="I6" s="380" t="s">
        <v>1803</v>
      </c>
      <c r="J6" s="380" t="s">
        <v>1805</v>
      </c>
      <c r="K6" s="380" t="s">
        <v>1814</v>
      </c>
      <c r="L6" s="380" t="s">
        <v>1804</v>
      </c>
      <c r="M6" s="380" t="s">
        <v>1799</v>
      </c>
      <c r="N6" s="380" t="s">
        <v>682</v>
      </c>
      <c r="O6" s="380" t="s">
        <v>1806</v>
      </c>
    </row>
  </sheetData>
  <autoFilter ref="A6:Q6" xr:uid="{351C5EEA-687B-4893-8293-E371C35D3168}"/>
  <phoneticPr fontId="55" type="noConversion"/>
  <dataValidations count="3">
    <dataValidation type="list" allowBlank="1" showInputMessage="1" showErrorMessage="1" sqref="E7:E1048576" xr:uid="{0A49279A-0E0F-4305-B9F1-947000971B8C}">
      <formula1>"ABONO,RETENCION,AJUSTE"</formula1>
    </dataValidation>
    <dataValidation type="list" allowBlank="1" showInputMessage="1" showErrorMessage="1" sqref="F7:F1048576" xr:uid="{A8A1FA9D-3035-415E-942D-82B0855754A0}">
      <formula1>"Entrada,Salida"</formula1>
    </dataValidation>
    <dataValidation type="list" allowBlank="1" showInputMessage="1" showErrorMessage="1" sqref="G7:H1048576" xr:uid="{7FF0F315-2D07-4A81-9ECF-1DDEB838E296}">
      <formula1>pagos</formula1>
    </dataValidation>
  </dataValidations>
  <pageMargins left="0.7" right="0.7" top="0.75" bottom="0.75" header="0.3" footer="0.3"/>
  <pageSetup paperSize="9" orientation="portrait" horizontalDpi="0"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C0A956-6021-439C-8872-DD8DA5827F8E}">
  <sheetPr codeName="Hoja21">
    <tabColor theme="0" tint="-0.499984740745262"/>
  </sheetPr>
  <dimension ref="A1:AI6"/>
  <sheetViews>
    <sheetView showGridLines="0" zoomScale="85" zoomScaleNormal="85" workbookViewId="0">
      <pane ySplit="6" topLeftCell="A7" activePane="bottomLeft" state="frozen"/>
      <selection activeCell="D6" sqref="D6"/>
      <selection pane="bottomLeft" activeCell="A7" sqref="A7"/>
    </sheetView>
  </sheetViews>
  <sheetFormatPr baseColWidth="10" defaultColWidth="10.81640625" defaultRowHeight="14.5" outlineLevelCol="1" x14ac:dyDescent="0.35"/>
  <cols>
    <col min="1" max="1" width="10.7265625" style="478" customWidth="1"/>
    <col min="2" max="2" width="6.54296875" style="479" customWidth="1"/>
    <col min="3" max="3" width="10.7265625" style="478" customWidth="1"/>
    <col min="4" max="4" width="10.7265625" style="480" customWidth="1"/>
    <col min="5" max="5" width="10.1796875" style="478" customWidth="1"/>
    <col min="6" max="7" width="11.1796875" style="478" customWidth="1"/>
    <col min="8" max="8" width="29.453125" style="478" customWidth="1"/>
    <col min="9" max="9" width="13.54296875" style="478" hidden="1" customWidth="1" outlineLevel="1"/>
    <col min="10" max="10" width="10.26953125" style="481" customWidth="1" collapsed="1"/>
    <col min="11" max="11" width="10.26953125" style="481" customWidth="1"/>
    <col min="12" max="12" width="10.26953125" style="481" hidden="1" customWidth="1" outlineLevel="1"/>
    <col min="13" max="13" width="10.81640625" style="481" customWidth="1" collapsed="1"/>
    <col min="14" max="14" width="11.453125" style="479" customWidth="1"/>
    <col min="15" max="15" width="9.453125" style="481" customWidth="1"/>
    <col min="16" max="16" width="9.54296875" style="481" customWidth="1"/>
    <col min="17" max="17" width="7.54296875" style="482" customWidth="1"/>
    <col min="18" max="18" width="24.54296875" style="484" hidden="1" customWidth="1" outlineLevel="1"/>
    <col min="19" max="19" width="7.1796875" style="481" hidden="1" customWidth="1" outlineLevel="1"/>
    <col min="20" max="20" width="10.81640625" style="481" hidden="1" customWidth="1" outlineLevel="1"/>
    <col min="21" max="21" width="9.54296875" style="481" hidden="1" customWidth="1" outlineLevel="1"/>
    <col min="22" max="22" width="7.54296875" style="482" hidden="1" customWidth="1" outlineLevel="1"/>
    <col min="23" max="23" width="7.54296875" style="482" customWidth="1" collapsed="1"/>
    <col min="24" max="24" width="24.54296875" style="484" hidden="1" customWidth="1" outlineLevel="1"/>
    <col min="25" max="25" width="7.1796875" style="481" hidden="1" customWidth="1" outlineLevel="1"/>
    <col min="26" max="26" width="9.453125" style="481" hidden="1" customWidth="1" outlineLevel="1"/>
    <col min="27" max="27" width="9.54296875" style="481" hidden="1" customWidth="1" outlineLevel="1"/>
    <col min="28" max="28" width="9.54296875" style="481" customWidth="1" collapsed="1"/>
    <col min="29" max="29" width="10.54296875" style="481" customWidth="1"/>
    <col min="30" max="30" width="13.54296875" style="478" customWidth="1" outlineLevel="1"/>
    <col min="31" max="31" width="13.453125" style="478" customWidth="1" outlineLevel="1"/>
    <col min="32" max="32" width="14.81640625" style="478" customWidth="1" outlineLevel="1"/>
    <col min="33" max="33" width="16.1796875" style="478" customWidth="1" outlineLevel="1"/>
    <col min="34" max="34" width="14.54296875" style="479" customWidth="1" outlineLevel="1"/>
    <col min="35" max="35" width="6.81640625" style="911" customWidth="1"/>
    <col min="36" max="16384" width="10.81640625" style="1"/>
  </cols>
  <sheetData>
    <row r="1" spans="1:35" s="477" customFormat="1" ht="21.65" customHeight="1" x14ac:dyDescent="0.35">
      <c r="A1" s="490" t="s">
        <v>1564</v>
      </c>
      <c r="B1" s="472"/>
      <c r="C1" s="474"/>
      <c r="D1" s="473"/>
      <c r="E1" s="474"/>
      <c r="F1" s="474"/>
      <c r="G1" s="474"/>
      <c r="H1" s="475"/>
      <c r="I1" s="475"/>
      <c r="J1" s="487"/>
      <c r="K1" s="487"/>
      <c r="L1" s="487"/>
      <c r="M1" s="488"/>
      <c r="N1" s="475"/>
      <c r="O1" s="487"/>
      <c r="P1" s="487"/>
      <c r="Q1" s="476"/>
      <c r="R1" s="489"/>
      <c r="S1" s="487"/>
      <c r="T1" s="487"/>
      <c r="U1" s="487"/>
      <c r="V1" s="476"/>
      <c r="W1" s="476"/>
      <c r="X1" s="489"/>
      <c r="Y1" s="487"/>
      <c r="Z1" s="487"/>
      <c r="AA1" s="487"/>
      <c r="AB1" s="487"/>
      <c r="AC1" s="487"/>
      <c r="AD1" s="475"/>
      <c r="AE1" s="475"/>
      <c r="AF1" s="475"/>
      <c r="AG1" s="475"/>
      <c r="AH1" s="475"/>
      <c r="AI1" s="910"/>
    </row>
    <row r="2" spans="1:35" s="477" customFormat="1" ht="21.65" hidden="1" customHeight="1" x14ac:dyDescent="0.35">
      <c r="A2" s="490"/>
      <c r="B2" s="472"/>
      <c r="C2" s="474"/>
      <c r="D2" s="473"/>
      <c r="E2" s="474"/>
      <c r="F2" s="474"/>
      <c r="G2" s="474"/>
      <c r="H2" s="475"/>
      <c r="I2" s="475"/>
      <c r="J2" s="487"/>
      <c r="K2" s="487"/>
      <c r="L2" s="487"/>
      <c r="M2" s="488"/>
      <c r="N2" s="475"/>
      <c r="O2" s="487"/>
      <c r="P2" s="487"/>
      <c r="Q2" s="476"/>
      <c r="R2" s="489"/>
      <c r="S2" s="487"/>
      <c r="T2" s="487"/>
      <c r="U2" s="487"/>
      <c r="V2" s="476"/>
      <c r="W2" s="476"/>
      <c r="X2" s="489"/>
      <c r="Y2" s="487"/>
      <c r="Z2" s="487"/>
      <c r="AA2" s="487"/>
      <c r="AB2" s="487"/>
      <c r="AC2" s="487"/>
      <c r="AD2" s="475"/>
      <c r="AE2" s="475"/>
      <c r="AF2" s="475"/>
      <c r="AG2" s="475"/>
      <c r="AH2" s="475"/>
      <c r="AI2" s="910"/>
    </row>
    <row r="3" spans="1:35" s="477" customFormat="1" ht="21.65" hidden="1" customHeight="1" x14ac:dyDescent="0.35">
      <c r="A3" s="490"/>
      <c r="B3" s="472"/>
      <c r="C3" s="474"/>
      <c r="D3" s="473"/>
      <c r="E3" s="474"/>
      <c r="F3" s="474"/>
      <c r="G3" s="474"/>
      <c r="H3" s="475"/>
      <c r="I3" s="475"/>
      <c r="J3" s="487"/>
      <c r="K3" s="487"/>
      <c r="L3" s="487"/>
      <c r="M3" s="488"/>
      <c r="N3" s="475"/>
      <c r="O3" s="487"/>
      <c r="P3" s="487"/>
      <c r="Q3" s="476"/>
      <c r="R3" s="489"/>
      <c r="S3" s="487"/>
      <c r="T3" s="487"/>
      <c r="U3" s="487"/>
      <c r="V3" s="476"/>
      <c r="W3" s="476"/>
      <c r="X3" s="489"/>
      <c r="Y3" s="487"/>
      <c r="Z3" s="487"/>
      <c r="AA3" s="487"/>
      <c r="AB3" s="487"/>
      <c r="AC3" s="487"/>
      <c r="AD3" s="475"/>
      <c r="AE3" s="475"/>
      <c r="AF3" s="475"/>
      <c r="AG3" s="475"/>
      <c r="AH3" s="475"/>
      <c r="AI3" s="910"/>
    </row>
    <row r="4" spans="1:35" s="477" customFormat="1" ht="21.65" hidden="1" customHeight="1" x14ac:dyDescent="0.35">
      <c r="A4" s="490"/>
      <c r="B4" s="472"/>
      <c r="C4" s="474"/>
      <c r="D4" s="473"/>
      <c r="E4" s="474"/>
      <c r="F4" s="474"/>
      <c r="G4" s="474"/>
      <c r="H4" s="475"/>
      <c r="I4" s="475"/>
      <c r="J4" s="487"/>
      <c r="K4" s="487"/>
      <c r="L4" s="487"/>
      <c r="M4" s="488"/>
      <c r="N4" s="475"/>
      <c r="O4" s="487"/>
      <c r="P4" s="487"/>
      <c r="Q4" s="476"/>
      <c r="R4" s="489"/>
      <c r="S4" s="487"/>
      <c r="T4" s="487"/>
      <c r="U4" s="487"/>
      <c r="V4" s="476"/>
      <c r="W4" s="476"/>
      <c r="X4" s="489"/>
      <c r="Y4" s="487"/>
      <c r="Z4" s="487"/>
      <c r="AA4" s="487"/>
      <c r="AB4" s="487"/>
      <c r="AC4" s="487"/>
      <c r="AD4" s="475"/>
      <c r="AE4" s="475"/>
      <c r="AF4" s="475"/>
      <c r="AG4" s="475"/>
      <c r="AH4" s="475"/>
      <c r="AI4" s="910"/>
    </row>
    <row r="5" spans="1:35" s="477" customFormat="1" ht="21.65" hidden="1" customHeight="1" thickBot="1" x14ac:dyDescent="0.4">
      <c r="A5" s="490"/>
      <c r="B5" s="472"/>
      <c r="C5" s="474"/>
      <c r="D5" s="473"/>
      <c r="E5" s="474"/>
      <c r="F5" s="474"/>
      <c r="G5" s="474"/>
      <c r="H5" s="475"/>
      <c r="I5" s="475"/>
      <c r="J5" s="487"/>
      <c r="K5" s="487"/>
      <c r="L5" s="487"/>
      <c r="M5" s="488"/>
      <c r="N5" s="475"/>
      <c r="O5" s="487"/>
      <c r="P5" s="487"/>
      <c r="Q5" s="476"/>
      <c r="R5" s="489"/>
      <c r="S5" s="487"/>
      <c r="T5" s="487"/>
      <c r="U5" s="487"/>
      <c r="V5" s="476"/>
      <c r="W5" s="476"/>
      <c r="X5" s="489"/>
      <c r="Y5" s="487"/>
      <c r="Z5" s="487"/>
      <c r="AA5" s="487"/>
      <c r="AB5" s="487"/>
      <c r="AC5" s="487"/>
      <c r="AD5" s="475"/>
      <c r="AE5" s="475"/>
      <c r="AF5" s="475"/>
      <c r="AG5" s="475"/>
      <c r="AH5" s="475"/>
      <c r="AI5" s="910"/>
    </row>
    <row r="6" spans="1:35" s="486" customFormat="1" ht="34.5" x14ac:dyDescent="0.35">
      <c r="A6" s="772" t="s">
        <v>1563</v>
      </c>
      <c r="B6" s="772" t="s">
        <v>1562</v>
      </c>
      <c r="C6" s="772" t="s">
        <v>1810</v>
      </c>
      <c r="D6" s="773" t="s">
        <v>1765</v>
      </c>
      <c r="E6" s="772" t="s">
        <v>1772</v>
      </c>
      <c r="F6" s="772" t="s">
        <v>1560</v>
      </c>
      <c r="G6" s="772" t="s">
        <v>1771</v>
      </c>
      <c r="H6" s="772" t="s">
        <v>0</v>
      </c>
      <c r="I6" s="772" t="s">
        <v>1535</v>
      </c>
      <c r="J6" s="544" t="s">
        <v>1033</v>
      </c>
      <c r="K6" s="544" t="s">
        <v>1559</v>
      </c>
      <c r="L6" s="544" t="s">
        <v>1762</v>
      </c>
      <c r="M6" s="544" t="s">
        <v>1557</v>
      </c>
      <c r="N6" s="772" t="s">
        <v>1558</v>
      </c>
      <c r="O6" s="544" t="s">
        <v>1790</v>
      </c>
      <c r="P6" s="544" t="s">
        <v>1555</v>
      </c>
      <c r="Q6" s="772" t="s">
        <v>1766</v>
      </c>
      <c r="R6" s="774" t="s">
        <v>1532</v>
      </c>
      <c r="S6" s="544" t="s">
        <v>1531</v>
      </c>
      <c r="T6" s="544" t="s">
        <v>1554</v>
      </c>
      <c r="U6" s="544" t="s">
        <v>1553</v>
      </c>
      <c r="V6" s="772" t="s">
        <v>1791</v>
      </c>
      <c r="W6" s="772" t="s">
        <v>1552</v>
      </c>
      <c r="X6" s="774" t="s">
        <v>1530</v>
      </c>
      <c r="Y6" s="544" t="s">
        <v>1529</v>
      </c>
      <c r="Z6" s="544" t="s">
        <v>1551</v>
      </c>
      <c r="AA6" s="544" t="s">
        <v>1550</v>
      </c>
      <c r="AB6" s="544" t="s">
        <v>1302</v>
      </c>
      <c r="AC6" s="544" t="s">
        <v>1549</v>
      </c>
      <c r="AD6" s="772" t="s">
        <v>1764</v>
      </c>
      <c r="AE6" s="772" t="s">
        <v>1799</v>
      </c>
      <c r="AF6" s="772" t="s">
        <v>682</v>
      </c>
      <c r="AG6" s="772" t="s">
        <v>1800</v>
      </c>
      <c r="AH6" s="772" t="s">
        <v>2168</v>
      </c>
      <c r="AI6" s="772" t="s">
        <v>2287</v>
      </c>
    </row>
  </sheetData>
  <autoFilter ref="A6:AI6" xr:uid="{19C0A956-6021-439C-8872-DD8DA5827F8E}"/>
  <phoneticPr fontId="55" type="noConversion"/>
  <dataValidations count="5">
    <dataValidation type="list" allowBlank="1" showInputMessage="1" showErrorMessage="1" sqref="X7:X1048576" xr:uid="{39C1C785-68A6-4FA8-A6A9-85D9FB6ACBBE}">
      <formula1>tbIBPs2</formula1>
    </dataValidation>
    <dataValidation type="list" allowBlank="1" showInputMessage="1" showErrorMessage="1" sqref="V7:W1048576 Q7:Q1048576" xr:uid="{F89350C9-5C11-4CB0-843B-627689628BA5}">
      <formula1>"SI,NO"</formula1>
    </dataValidation>
    <dataValidation type="list" allowBlank="1" showInputMessage="1" showErrorMessage="1" sqref="R7:R1048576" xr:uid="{A032F764-DB9A-46DE-9806-97570FCCC450}">
      <formula1>tbICEs2</formula1>
    </dataValidation>
    <dataValidation type="list" allowBlank="1" showInputMessage="1" showErrorMessage="1" sqref="N7:N1048576" xr:uid="{C9D730DA-58FC-4383-A64D-4E09BEB38819}">
      <formula1>"0%,GRAVABLE,No Objeto IVA,EXENTO"</formula1>
    </dataValidation>
    <dataValidation type="list" allowBlank="1" showInputMessage="1" showErrorMessage="1" sqref="B7:B1048576" xr:uid="{77CA345C-24F2-4C08-9A9F-B5611F8C83AC}">
      <formula1>CodTransDET</formula1>
    </dataValidation>
  </dataValidations>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B1C46E-5D95-4910-9117-A98EC2673E8D}">
  <sheetPr codeName="Hoja18">
    <tabColor theme="0" tint="-0.499984740745262"/>
    <pageSetUpPr fitToPage="1"/>
  </sheetPr>
  <dimension ref="A1:N7"/>
  <sheetViews>
    <sheetView showGridLines="0" zoomScaleNormal="100" workbookViewId="0">
      <pane ySplit="6" topLeftCell="A7" activePane="bottomLeft" state="frozen"/>
      <selection activeCell="D6" sqref="D6"/>
      <selection pane="bottomLeft" activeCell="A7" sqref="A7"/>
    </sheetView>
  </sheetViews>
  <sheetFormatPr baseColWidth="10" defaultColWidth="9.1796875" defaultRowHeight="11.5" outlineLevelCol="1" x14ac:dyDescent="0.25"/>
  <cols>
    <col min="1" max="1" width="9.7265625" style="904" customWidth="1"/>
    <col min="2" max="3" width="11" style="904" customWidth="1"/>
    <col min="4" max="4" width="40.1796875" style="507" customWidth="1"/>
    <col min="5" max="5" width="20.453125" style="904" customWidth="1" outlineLevel="1"/>
    <col min="6" max="6" width="11" style="507" customWidth="1"/>
    <col min="7" max="7" width="10.453125" style="508" customWidth="1"/>
    <col min="8" max="8" width="10.453125" style="508" customWidth="1" outlineLevel="1"/>
    <col min="9" max="9" width="12.1796875" style="509" customWidth="1"/>
    <col min="10" max="10" width="9.1796875" style="510" customWidth="1"/>
    <col min="11" max="12" width="23.54296875" style="511" customWidth="1" outlineLevel="1"/>
    <col min="13" max="13" width="35.26953125" style="504" customWidth="1" outlineLevel="1"/>
    <col min="14" max="14" width="10.453125" style="504" bestFit="1" customWidth="1"/>
    <col min="15" max="16384" width="9.1796875" style="504"/>
  </cols>
  <sheetData>
    <row r="1" spans="1:14" s="500" customFormat="1" ht="21.65" customHeight="1" thickBot="1" x14ac:dyDescent="0.3">
      <c r="A1" s="490" t="s">
        <v>1538</v>
      </c>
      <c r="B1" s="656"/>
      <c r="C1" s="656"/>
      <c r="D1" s="493"/>
      <c r="F1" s="493"/>
      <c r="G1" s="494"/>
      <c r="H1" s="494"/>
      <c r="I1" s="495"/>
      <c r="J1" s="496"/>
      <c r="K1" s="495"/>
      <c r="L1" s="495"/>
      <c r="M1" s="492"/>
      <c r="N1" s="498"/>
    </row>
    <row r="2" spans="1:14" s="500" customFormat="1" ht="21.65" hidden="1" customHeight="1" x14ac:dyDescent="0.25">
      <c r="A2" s="656"/>
      <c r="B2" s="656"/>
      <c r="C2" s="656"/>
      <c r="D2" s="493"/>
      <c r="F2" s="493"/>
      <c r="G2" s="494"/>
      <c r="H2" s="494"/>
      <c r="I2" s="495"/>
      <c r="J2" s="496"/>
      <c r="K2" s="495"/>
      <c r="L2" s="495"/>
      <c r="M2" s="492"/>
      <c r="N2" s="498"/>
    </row>
    <row r="3" spans="1:14" s="500" customFormat="1" ht="21.65" hidden="1" customHeight="1" x14ac:dyDescent="0.25">
      <c r="A3" s="656"/>
      <c r="B3" s="656"/>
      <c r="C3" s="656"/>
      <c r="D3" s="493"/>
      <c r="F3" s="493"/>
      <c r="G3" s="494"/>
      <c r="H3" s="494"/>
      <c r="I3" s="495"/>
      <c r="J3" s="496"/>
      <c r="K3" s="495"/>
      <c r="L3" s="495"/>
      <c r="M3" s="492"/>
      <c r="N3" s="498"/>
    </row>
    <row r="4" spans="1:14" s="500" customFormat="1" ht="21.65" hidden="1" customHeight="1" x14ac:dyDescent="0.25">
      <c r="A4" s="656"/>
      <c r="B4" s="656"/>
      <c r="C4" s="656"/>
      <c r="D4" s="493"/>
      <c r="F4" s="493"/>
      <c r="G4" s="494"/>
      <c r="H4" s="494"/>
      <c r="I4" s="495"/>
      <c r="J4" s="496"/>
      <c r="K4" s="495"/>
      <c r="L4" s="495"/>
      <c r="M4" s="492"/>
      <c r="N4" s="498"/>
    </row>
    <row r="5" spans="1:14" s="500" customFormat="1" ht="21.65" hidden="1" customHeight="1" thickBot="1" x14ac:dyDescent="0.3">
      <c r="A5" s="656"/>
      <c r="B5" s="656"/>
      <c r="C5" s="656"/>
      <c r="D5" s="493"/>
      <c r="F5" s="493"/>
      <c r="G5" s="494"/>
      <c r="H5" s="494"/>
      <c r="I5" s="495"/>
      <c r="J5" s="496"/>
      <c r="K5" s="495"/>
      <c r="L5" s="495"/>
      <c r="M5" s="492"/>
      <c r="N5" s="498"/>
    </row>
    <row r="6" spans="1:14" s="520" customFormat="1" ht="30" customHeight="1" x14ac:dyDescent="0.35">
      <c r="A6" s="772" t="s">
        <v>2135</v>
      </c>
      <c r="B6" s="521" t="s">
        <v>1537</v>
      </c>
      <c r="C6" s="521" t="s">
        <v>1536</v>
      </c>
      <c r="D6" s="521" t="s">
        <v>0</v>
      </c>
      <c r="E6" s="914" t="s">
        <v>1676</v>
      </c>
      <c r="F6" s="521" t="s">
        <v>1535</v>
      </c>
      <c r="G6" s="522" t="s">
        <v>1534</v>
      </c>
      <c r="H6" s="522" t="s">
        <v>1773</v>
      </c>
      <c r="I6" s="519" t="s">
        <v>1533</v>
      </c>
      <c r="J6" s="348" t="s">
        <v>1556</v>
      </c>
      <c r="K6" s="521" t="s">
        <v>1532</v>
      </c>
      <c r="L6" s="521" t="s">
        <v>1530</v>
      </c>
      <c r="M6" s="519" t="s">
        <v>1763</v>
      </c>
    </row>
    <row r="7" spans="1:14" x14ac:dyDescent="0.25">
      <c r="A7" s="905" t="s">
        <v>2305</v>
      </c>
      <c r="B7" s="905" t="s">
        <v>2306</v>
      </c>
      <c r="C7" s="905"/>
      <c r="D7" s="502" t="s">
        <v>1857</v>
      </c>
      <c r="E7" s="906" t="s">
        <v>2139</v>
      </c>
      <c r="F7" s="502"/>
      <c r="G7" s="912">
        <v>500</v>
      </c>
      <c r="H7" s="912">
        <v>0</v>
      </c>
      <c r="I7" s="913" t="s">
        <v>2301</v>
      </c>
      <c r="J7" s="907">
        <v>0</v>
      </c>
      <c r="K7" s="503"/>
      <c r="L7" s="503"/>
      <c r="M7" s="501"/>
    </row>
  </sheetData>
  <autoFilter ref="A6:N17" xr:uid="{C1B1C46E-5D95-4910-9117-A98EC2673E8D}"/>
  <phoneticPr fontId="55" type="noConversion"/>
  <dataValidations count="7">
    <dataValidation type="textLength" operator="lessThanOrEqual" allowBlank="1" showInputMessage="1" showErrorMessage="1" errorTitle="FactelExcel" error="Debe ingresar un valor correcto para el Codigo Principal" sqref="A983017:C1048576 A917481:C983014 A851945:C917478 A786409:C851942 A720873:C786406 A655337:C720870 A589801:C655334 A524265:C589798 A458729:C524262 A393193:C458726 A327657:C393190 A262121:C327654 A196585:C262118 A131049:C196582 A65513:C131046 A7:C65510" xr:uid="{2BCBC428-9AE3-4078-913E-26B4BA3B2124}">
      <formula1>25</formula1>
    </dataValidation>
    <dataValidation type="textLength" operator="lessThanOrEqual" allowBlank="1" showInputMessage="1" showErrorMessage="1" errorTitle="FactelExcel" error="Debe ingresar un valor correcto para la Descripcion de Productos" sqref="F131049:F196582 F196585:F262118 F262121:F327654 F327657:F393190 F393193:F458726 F458729:F524262 F524265:F589798 F589801:F655334 F655337:F720870 F720873:F786406 F786409:F851942 F851945:F917478 F917481:F983014 F983017:F1048576 J65513:J131046 J131049:J196582 J196585:J262118 J262121:J327654 J327657:J393190 J393193:J458726 J458729:J524262 J524265:J589798 J589801:J655334 J655337:J720870 J720873:J786406 J786409:J851942 J851945:J917478 J917481:J983014 J983017:J1048576 M917481:M983014 M851945:M917478 M786409:M851942 M720873:M786406 M655337:M720870 M589801:M655334 M524265:M589798 M458729:M524262 M393193:M458726 M327657:M393190 M262121:M327654 M196585:M262118 M131049:M196582 M65513:M131046 M983017:M1048576 D983017:D1048576 D917481:D983014 D851945:D917478 D786409:D851942 D720873:D786406 D655337:D720870 D589801:D655334 D524265:D589798 D458729:D524262 D393193:D458726 D327657:D393190 D262121:D327654 D196585:D262118 D131049:D196582 D65513:D131046 F65513:F131046 D7:D65510 J7:J65510 M7:M65510 F7:F65510" xr:uid="{644CAFA9-D918-4392-9551-C4F86D187993}">
      <formula1>300</formula1>
    </dataValidation>
    <dataValidation allowBlank="1" showInputMessage="1" showErrorMessage="1" errorTitle="Contribuyentes" error="Tiene que ingresar el código de Identificación (1-2-3)" sqref="A524264:C524264 A65512:C65512 E6 A983016:C983016 A458728:C458728 A917480:C917480 A196584:C196584 A851944:C851944 A393192:C393192 A786408:C786408 B6:C6 A720872:C720872 A327656:C327656 A655336:C655336 A131048:C131048 A589800:C589800 A262120:C262120" xr:uid="{5058861E-B66C-4920-A42F-05BBB5C5D015}"/>
    <dataValidation type="list" allowBlank="1" showInputMessage="1" showErrorMessage="1" sqref="I7:I1048576" xr:uid="{E04A43B6-B111-4814-8966-F3F5C74A3ABD}">
      <formula1>"0%,GRAVABLE,No Objeto IVA,EXENTO"</formula1>
    </dataValidation>
    <dataValidation type="list" allowBlank="1" showInputMessage="1" showErrorMessage="1" sqref="K7:K1048576" xr:uid="{AC66A164-B324-43A4-8E34-CF25320102CD}">
      <formula1>tbICEs2</formula1>
    </dataValidation>
    <dataValidation type="list" operator="lessThanOrEqual" allowBlank="1" showInputMessage="1" errorTitle="FactelExcel" error="Debe ingresar un valor correcto para la Descripcion de Productos" sqref="L7:L1048576" xr:uid="{5F063B83-1003-4A3D-AB91-DE68C539C10B}">
      <formula1>tbIBPs2</formula1>
    </dataValidation>
    <dataValidation type="list" allowBlank="1" showInputMessage="1" showErrorMessage="1" sqref="E7:E1048576" xr:uid="{A21178FF-B73C-47E9-AFBE-53245323FF40}">
      <formula1>"GENERAL,CONSTRUCCION-REBAJA,TURISMO-REBAJA"</formula1>
    </dataValidation>
  </dataValidations>
  <pageMargins left="0.75" right="0.75" top="0.39370078740157483" bottom="0.39370078740157483" header="0" footer="0"/>
  <pageSetup paperSize="9" scale="59" orientation="landscape"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48034D-3CF7-434A-A740-C31ED3875186}">
  <sheetPr codeName="Hoja19">
    <tabColor theme="0" tint="-0.499984740745262"/>
    <pageSetUpPr fitToPage="1"/>
  </sheetPr>
  <dimension ref="A1:M7"/>
  <sheetViews>
    <sheetView showGridLines="0" zoomScaleNormal="100" workbookViewId="0">
      <pane ySplit="6" topLeftCell="A7" activePane="bottomLeft" state="frozen"/>
      <selection activeCell="A7" sqref="A7"/>
      <selection pane="bottomLeft" activeCell="A7" sqref="A7"/>
    </sheetView>
  </sheetViews>
  <sheetFormatPr baseColWidth="10" defaultColWidth="9.1796875" defaultRowHeight="11.5" outlineLevelCol="1" x14ac:dyDescent="0.25"/>
  <cols>
    <col min="1" max="1" width="10.7265625" style="507" customWidth="1"/>
    <col min="2" max="2" width="15.81640625" style="507" customWidth="1"/>
    <col min="3" max="3" width="16.7265625" style="513" customWidth="1"/>
    <col min="4" max="4" width="35.26953125" style="507" customWidth="1"/>
    <col min="5" max="5" width="43.81640625" style="507" customWidth="1"/>
    <col min="6" max="6" width="16.26953125" style="504" customWidth="1"/>
    <col min="7" max="7" width="12.1796875" style="505" customWidth="1"/>
    <col min="8" max="8" width="10.81640625" style="507" customWidth="1"/>
    <col min="9" max="9" width="23.7265625" style="507" customWidth="1"/>
    <col min="10" max="10" width="10.81640625" style="507" hidden="1" customWidth="1" outlineLevel="1"/>
    <col min="11" max="11" width="14.7265625" style="511" hidden="1" customWidth="1" outlineLevel="1"/>
    <col min="12" max="12" width="10.81640625" style="507" hidden="1" customWidth="1" outlineLevel="1"/>
    <col min="13" max="13" width="9.1796875" style="504" collapsed="1"/>
    <col min="14" max="16384" width="9.1796875" style="504"/>
  </cols>
  <sheetData>
    <row r="1" spans="1:13" s="518" customFormat="1" ht="21.65" customHeight="1" thickBot="1" x14ac:dyDescent="0.45">
      <c r="A1" s="466" t="s">
        <v>1547</v>
      </c>
      <c r="B1" s="657"/>
      <c r="C1" s="466"/>
      <c r="D1" s="514"/>
      <c r="E1" s="514"/>
      <c r="F1" s="515"/>
      <c r="G1" s="516"/>
      <c r="H1" s="517"/>
      <c r="I1" s="517"/>
      <c r="J1" s="517"/>
      <c r="K1" s="658"/>
      <c r="L1" s="517"/>
      <c r="M1" s="516"/>
    </row>
    <row r="2" spans="1:13" s="500" customFormat="1" ht="21.65" hidden="1" customHeight="1" x14ac:dyDescent="0.25">
      <c r="A2" s="491"/>
      <c r="B2" s="656"/>
      <c r="C2" s="491"/>
      <c r="D2" s="493"/>
      <c r="E2" s="493"/>
      <c r="F2" s="494"/>
      <c r="G2" s="497"/>
      <c r="H2" s="495"/>
      <c r="I2" s="495"/>
      <c r="J2" s="495"/>
      <c r="K2" s="659"/>
      <c r="L2" s="495"/>
      <c r="M2" s="497"/>
    </row>
    <row r="3" spans="1:13" s="500" customFormat="1" ht="21.65" hidden="1" customHeight="1" x14ac:dyDescent="0.25">
      <c r="A3" s="491"/>
      <c r="B3" s="656"/>
      <c r="C3" s="491"/>
      <c r="D3" s="493"/>
      <c r="E3" s="493"/>
      <c r="F3" s="494"/>
      <c r="G3" s="497"/>
      <c r="H3" s="495"/>
      <c r="I3" s="495"/>
      <c r="J3" s="495"/>
      <c r="K3" s="659"/>
      <c r="L3" s="495"/>
      <c r="M3" s="497"/>
    </row>
    <row r="4" spans="1:13" s="500" customFormat="1" ht="21.65" hidden="1" customHeight="1" x14ac:dyDescent="0.25">
      <c r="A4" s="491"/>
      <c r="B4" s="656"/>
      <c r="C4" s="491"/>
      <c r="D4" s="493"/>
      <c r="E4" s="493"/>
      <c r="F4" s="494"/>
      <c r="G4" s="497"/>
      <c r="H4" s="495"/>
      <c r="I4" s="495"/>
      <c r="J4" s="495"/>
      <c r="K4" s="659"/>
      <c r="L4" s="495"/>
      <c r="M4" s="497"/>
    </row>
    <row r="5" spans="1:13" s="500" customFormat="1" ht="21.65" hidden="1" customHeight="1" thickBot="1" x14ac:dyDescent="0.3">
      <c r="A5" s="491"/>
      <c r="B5" s="656"/>
      <c r="C5" s="491"/>
      <c r="D5" s="493"/>
      <c r="E5" s="493"/>
      <c r="F5" s="494"/>
      <c r="G5" s="497"/>
      <c r="H5" s="495"/>
      <c r="I5" s="495"/>
      <c r="J5" s="495"/>
      <c r="K5" s="659"/>
      <c r="L5" s="495"/>
      <c r="M5" s="497"/>
    </row>
    <row r="6" spans="1:13" s="520" customFormat="1" ht="30" customHeight="1" x14ac:dyDescent="0.35">
      <c r="A6" s="521" t="s">
        <v>1767</v>
      </c>
      <c r="B6" s="521" t="s">
        <v>680</v>
      </c>
      <c r="C6" s="519" t="s">
        <v>1546</v>
      </c>
      <c r="D6" s="521" t="s">
        <v>1545</v>
      </c>
      <c r="E6" s="521" t="s">
        <v>1544</v>
      </c>
      <c r="F6" s="519" t="s">
        <v>683</v>
      </c>
      <c r="G6" s="519" t="s">
        <v>684</v>
      </c>
      <c r="H6" s="521" t="s">
        <v>1543</v>
      </c>
      <c r="I6" s="521" t="s">
        <v>1542</v>
      </c>
      <c r="J6" s="521" t="s">
        <v>1792</v>
      </c>
      <c r="K6" s="521" t="s">
        <v>1541</v>
      </c>
      <c r="L6" s="521" t="s">
        <v>1675</v>
      </c>
    </row>
    <row r="7" spans="1:13" ht="14.5" x14ac:dyDescent="0.35">
      <c r="A7" s="502" t="s">
        <v>2134</v>
      </c>
      <c r="B7" s="502" t="s">
        <v>1793</v>
      </c>
      <c r="C7" s="434" t="s">
        <v>1794</v>
      </c>
      <c r="D7" s="502" t="s">
        <v>1540</v>
      </c>
      <c r="E7" s="502" t="s">
        <v>1585</v>
      </c>
      <c r="F7" s="501" t="s">
        <v>1795</v>
      </c>
      <c r="G7" s="528" t="s">
        <v>745</v>
      </c>
      <c r="H7" s="502" t="s">
        <v>1585</v>
      </c>
      <c r="I7" s="660" t="s">
        <v>1585</v>
      </c>
      <c r="J7" s="908"/>
      <c r="K7" s="909" t="s">
        <v>1760</v>
      </c>
      <c r="L7" s="908"/>
    </row>
  </sheetData>
  <autoFilter ref="A6:M19" xr:uid="{0D48034D-3CF7-434A-A740-C31ED3875186}"/>
  <phoneticPr fontId="55" type="noConversion"/>
  <conditionalFormatting sqref="C7">
    <cfRule type="expression" dxfId="17" priority="1">
      <formula>ROW()=RowVEN</formula>
    </cfRule>
  </conditionalFormatting>
  <dataValidations count="6">
    <dataValidation type="textLength" operator="lessThanOrEqual" allowBlank="1" showInputMessage="1" showErrorMessage="1" errorTitle="FactelExcel" error="Debe ingresar un valor correcto para esta celda" sqref="D7:E7" xr:uid="{D1D94A10-CBF4-4602-8A66-346E9BEB870B}">
      <formula1>300</formula1>
    </dataValidation>
    <dataValidation type="textLength" operator="lessThanOrEqual" allowBlank="1" showInputMessage="1" showErrorMessage="1" errorTitle="FactelExcel" error="Debe ingresar un valor correcto para el Numero de Identificacion" sqref="B7 A7" xr:uid="{80A874FE-81A5-4B7B-9018-75AA1F567195}">
      <formula1>20</formula1>
    </dataValidation>
    <dataValidation type="list" operator="lessThanOrEqual" allowBlank="1" showInputMessage="1" showErrorMessage="1" errorTitle="FactelExcel" error="Debe ingresar un valor correcto para esta celda" sqref="F7:F1048576" xr:uid="{97A363ED-7B63-424E-8D2D-F800E17B102F}">
      <formula1>"01-Persona Natural,02-Sociedad"</formula1>
    </dataValidation>
    <dataValidation type="list" operator="lessThanOrEqual" allowBlank="1" showInputMessage="1" showErrorMessage="1" errorTitle="FactelExcel" error="Debe ingresar un valor correcto para esta celda" sqref="G7:G1048576" xr:uid="{69138880-C6D9-4443-9C76-AEE997FD4DE0}">
      <formula1>"SI,NO"</formula1>
    </dataValidation>
    <dataValidation type="list" allowBlank="1" showInputMessage="1" showErrorMessage="1" sqref="K7:K1048576" xr:uid="{CD376078-9D29-494C-9E28-526AD1757CC9}">
      <formula1>"AMBOS,CLIENTE,PROVEEDOR"</formula1>
    </dataValidation>
    <dataValidation type="list" allowBlank="1" showInputMessage="1" showErrorMessage="1" sqref="C7:C1048576" xr:uid="{75654536-9769-4B71-BAD4-233C0D66526A}">
      <formula1>"R-Ruc,C-Cédula,F-Consumidor Final,P-Pasaporte,E-ID Exterior,M-Placa/RAMV/CPN"</formula1>
    </dataValidation>
  </dataValidations>
  <pageMargins left="0.75" right="0.75" top="0.39370078740157483" bottom="0.39370078740157483" header="0" footer="0"/>
  <pageSetup paperSize="9" scale="59" orientation="landscape"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1"/>
  <dimension ref="A1:U1173"/>
  <sheetViews>
    <sheetView showGridLines="0" showRowColHeaders="0" zoomScaleNormal="100" workbookViewId="0">
      <selection activeCell="D4" sqref="D4"/>
    </sheetView>
  </sheetViews>
  <sheetFormatPr baseColWidth="10" defaultColWidth="10.81640625" defaultRowHeight="14.5" outlineLevelRow="1" x14ac:dyDescent="0.35"/>
  <cols>
    <col min="1" max="1" width="1.54296875" style="1" customWidth="1"/>
    <col min="2" max="2" width="1.1796875" style="1" customWidth="1"/>
    <col min="3" max="3" width="31.453125" style="1" customWidth="1"/>
    <col min="4" max="4" width="18.54296875" style="1" customWidth="1"/>
    <col min="5" max="9" width="16" style="1" customWidth="1"/>
    <col min="10" max="10" width="16.54296875" style="1" customWidth="1"/>
    <col min="11" max="11" width="6.1796875" style="2" hidden="1" customWidth="1"/>
    <col min="12" max="12" width="3.26953125" style="1" customWidth="1"/>
    <col min="13" max="13" width="1.54296875" style="1" customWidth="1"/>
    <col min="14" max="14" width="13" style="1" customWidth="1"/>
    <col min="15" max="15" width="13.1796875" style="1" customWidth="1"/>
    <col min="16" max="16" width="11.1796875" style="1" bestFit="1" customWidth="1"/>
    <col min="17" max="17" width="10.81640625" style="1"/>
    <col min="18" max="18" width="4" style="1" customWidth="1"/>
    <col min="19" max="19" width="10.81640625" style="779"/>
    <col min="20" max="16384" width="10.81640625" style="1"/>
  </cols>
  <sheetData>
    <row r="1" spans="2:21" ht="3.65" customHeight="1" thickBot="1" x14ac:dyDescent="0.4">
      <c r="B1" s="2"/>
    </row>
    <row r="2" spans="2:21" ht="31" customHeight="1" thickBot="1" x14ac:dyDescent="0.4">
      <c r="B2" s="524"/>
      <c r="C2" s="525" t="s">
        <v>1589</v>
      </c>
      <c r="D2" s="525"/>
      <c r="E2" s="525"/>
      <c r="F2" s="525"/>
      <c r="G2" s="525"/>
      <c r="H2" s="525"/>
      <c r="I2" s="525"/>
      <c r="J2" s="525"/>
      <c r="K2" s="527"/>
      <c r="L2" s="526"/>
      <c r="N2" s="926" t="s">
        <v>2197</v>
      </c>
      <c r="O2" s="927"/>
      <c r="P2" s="927"/>
      <c r="Q2" s="928"/>
      <c r="S2" s="926" t="s">
        <v>2198</v>
      </c>
      <c r="T2" s="927"/>
      <c r="U2" s="928"/>
    </row>
    <row r="3" spans="2:21" s="467" customFormat="1" ht="10.5" customHeight="1" thickTop="1" thickBot="1" x14ac:dyDescent="0.4">
      <c r="B3" s="767"/>
      <c r="C3" s="753"/>
      <c r="D3" s="662"/>
      <c r="E3" s="662"/>
      <c r="F3" s="662"/>
      <c r="G3" s="687"/>
      <c r="H3" s="687"/>
      <c r="I3" s="687"/>
      <c r="J3" s="689"/>
      <c r="K3" s="690"/>
      <c r="L3" s="691"/>
      <c r="N3" s="929" t="s">
        <v>2324</v>
      </c>
      <c r="O3" s="930"/>
      <c r="P3" s="930"/>
      <c r="Q3" s="931"/>
      <c r="S3" s="929" t="s">
        <v>2324</v>
      </c>
      <c r="T3" s="930"/>
      <c r="U3" s="931"/>
    </row>
    <row r="4" spans="2:21" s="467" customFormat="1" ht="15" customHeight="1" thickTop="1" thickBot="1" x14ac:dyDescent="0.4">
      <c r="B4" s="759" t="s">
        <v>1613</v>
      </c>
      <c r="C4" s="677" t="s">
        <v>1</v>
      </c>
      <c r="D4" s="663" t="s">
        <v>2303</v>
      </c>
      <c r="E4" s="663"/>
      <c r="F4" s="663"/>
      <c r="G4" s="684" t="s">
        <v>2</v>
      </c>
      <c r="H4" s="684"/>
      <c r="I4" s="684"/>
      <c r="J4" s="677"/>
      <c r="K4" s="692" t="s">
        <v>1817</v>
      </c>
      <c r="L4" s="693"/>
      <c r="N4" s="694" t="s">
        <v>1985</v>
      </c>
      <c r="O4" s="694" t="s">
        <v>1986</v>
      </c>
      <c r="P4" s="694" t="s">
        <v>2138</v>
      </c>
      <c r="Q4" s="694" t="s">
        <v>1987</v>
      </c>
      <c r="S4" s="694" t="s">
        <v>1985</v>
      </c>
      <c r="T4" s="694" t="s">
        <v>1986</v>
      </c>
      <c r="U4" s="694" t="s">
        <v>2199</v>
      </c>
    </row>
    <row r="5" spans="2:21" s="467" customFormat="1" ht="15" customHeight="1" thickTop="1" x14ac:dyDescent="0.35">
      <c r="B5" s="759" t="s">
        <v>1608</v>
      </c>
      <c r="C5" s="677" t="s">
        <v>3</v>
      </c>
      <c r="D5" s="663" t="s">
        <v>1487</v>
      </c>
      <c r="E5" s="663"/>
      <c r="F5" s="663"/>
      <c r="G5" s="684" t="s">
        <v>2</v>
      </c>
      <c r="H5" s="684"/>
      <c r="I5" s="684"/>
      <c r="J5" s="677"/>
      <c r="K5" s="692" t="s">
        <v>1817</v>
      </c>
      <c r="L5" s="693"/>
      <c r="N5" s="559">
        <v>0</v>
      </c>
      <c r="O5" s="560">
        <v>20000</v>
      </c>
      <c r="P5" s="560">
        <v>0</v>
      </c>
      <c r="Q5" s="561">
        <v>0</v>
      </c>
      <c r="S5" s="789">
        <v>0</v>
      </c>
      <c r="T5" s="790">
        <v>2500</v>
      </c>
      <c r="U5" s="791">
        <v>0</v>
      </c>
    </row>
    <row r="6" spans="2:21" s="467" customFormat="1" ht="15" customHeight="1" x14ac:dyDescent="0.35">
      <c r="B6" s="759" t="s">
        <v>1609</v>
      </c>
      <c r="C6" s="677" t="s">
        <v>4</v>
      </c>
      <c r="D6" s="663" t="s">
        <v>1040</v>
      </c>
      <c r="E6" s="663"/>
      <c r="F6" s="663"/>
      <c r="G6" s="684" t="s">
        <v>2</v>
      </c>
      <c r="H6" s="684"/>
      <c r="I6" s="684"/>
      <c r="J6" s="677"/>
      <c r="K6" s="692" t="s">
        <v>1817</v>
      </c>
      <c r="L6" s="693"/>
      <c r="N6" s="562">
        <f>O5+0.01</f>
        <v>20000.009999999998</v>
      </c>
      <c r="O6" s="563">
        <v>50000</v>
      </c>
      <c r="P6" s="563">
        <v>60</v>
      </c>
      <c r="Q6" s="564">
        <v>0.01</v>
      </c>
      <c r="S6" s="562">
        <f>T5+0.01</f>
        <v>2500.0100000000002</v>
      </c>
      <c r="T6" s="563">
        <v>5000</v>
      </c>
      <c r="U6" s="792">
        <v>5</v>
      </c>
    </row>
    <row r="7" spans="2:21" s="467" customFormat="1" ht="15" customHeight="1" x14ac:dyDescent="0.35">
      <c r="B7" s="759" t="s">
        <v>1610</v>
      </c>
      <c r="C7" s="677" t="s">
        <v>5</v>
      </c>
      <c r="D7" s="663" t="s">
        <v>2304</v>
      </c>
      <c r="E7" s="663"/>
      <c r="F7" s="663"/>
      <c r="G7" s="684" t="s">
        <v>2</v>
      </c>
      <c r="H7" s="684"/>
      <c r="I7" s="684"/>
      <c r="J7" s="677"/>
      <c r="K7" s="692" t="s">
        <v>1817</v>
      </c>
      <c r="L7" s="693"/>
      <c r="N7" s="562">
        <f t="shared" ref="N7:N10" si="0">O6+0.01</f>
        <v>50000.01</v>
      </c>
      <c r="O7" s="563">
        <f>+O6+25000</f>
        <v>75000</v>
      </c>
      <c r="P7" s="563">
        <v>360</v>
      </c>
      <c r="Q7" s="564">
        <v>1.2500000000000001E-2</v>
      </c>
      <c r="S7" s="562">
        <f t="shared" ref="S7:S9" si="1">T6+0.01</f>
        <v>5000.01</v>
      </c>
      <c r="T7" s="563">
        <v>10000</v>
      </c>
      <c r="U7" s="792">
        <v>15</v>
      </c>
    </row>
    <row r="8" spans="2:21" s="467" customFormat="1" ht="15" customHeight="1" x14ac:dyDescent="0.35">
      <c r="B8" s="759" t="s">
        <v>1611</v>
      </c>
      <c r="C8" s="677" t="s">
        <v>6</v>
      </c>
      <c r="D8" s="663" t="s">
        <v>1172</v>
      </c>
      <c r="E8" s="663"/>
      <c r="F8" s="663"/>
      <c r="G8" s="684" t="s">
        <v>2</v>
      </c>
      <c r="H8" s="684"/>
      <c r="I8" s="684"/>
      <c r="J8" s="677"/>
      <c r="K8" s="692" t="s">
        <v>1817</v>
      </c>
      <c r="L8" s="693"/>
      <c r="N8" s="562">
        <f t="shared" si="0"/>
        <v>75000.009999999995</v>
      </c>
      <c r="O8" s="563">
        <f t="shared" ref="O8" si="2">+O7+25000</f>
        <v>100000</v>
      </c>
      <c r="P8" s="563">
        <v>672.5</v>
      </c>
      <c r="Q8" s="564">
        <v>1.4999999999999999E-2</v>
      </c>
      <c r="S8" s="562">
        <f t="shared" si="1"/>
        <v>10000.01</v>
      </c>
      <c r="T8" s="563">
        <v>15000</v>
      </c>
      <c r="U8" s="792">
        <v>35</v>
      </c>
    </row>
    <row r="9" spans="2:21" s="467" customFormat="1" ht="15" customHeight="1" x14ac:dyDescent="0.35">
      <c r="B9" s="759" t="s">
        <v>1612</v>
      </c>
      <c r="C9" s="677" t="s">
        <v>7</v>
      </c>
      <c r="D9" s="663" t="s">
        <v>2304</v>
      </c>
      <c r="E9" s="663"/>
      <c r="F9" s="663"/>
      <c r="G9" s="684" t="s">
        <v>2</v>
      </c>
      <c r="H9" s="684"/>
      <c r="I9" s="684"/>
      <c r="J9" s="677"/>
      <c r="K9" s="692" t="s">
        <v>1817</v>
      </c>
      <c r="L9" s="693"/>
      <c r="N9" s="562">
        <f t="shared" si="0"/>
        <v>100000.01</v>
      </c>
      <c r="O9" s="563">
        <v>200000</v>
      </c>
      <c r="P9" s="563">
        <v>1047.5</v>
      </c>
      <c r="Q9" s="564">
        <v>1.7500000000000002E-2</v>
      </c>
      <c r="S9" s="562">
        <f t="shared" si="1"/>
        <v>15000.01</v>
      </c>
      <c r="T9" s="563">
        <v>20000</v>
      </c>
      <c r="U9" s="792">
        <v>60</v>
      </c>
    </row>
    <row r="10" spans="2:21" s="467" customFormat="1" ht="15" customHeight="1" x14ac:dyDescent="0.35">
      <c r="B10" s="759" t="s">
        <v>1614</v>
      </c>
      <c r="C10" s="677" t="s">
        <v>1091</v>
      </c>
      <c r="D10" s="663" t="s">
        <v>8</v>
      </c>
      <c r="E10" s="663"/>
      <c r="F10" s="663"/>
      <c r="G10" s="684" t="s">
        <v>1096</v>
      </c>
      <c r="H10" s="684"/>
      <c r="I10" s="684"/>
      <c r="J10" s="677"/>
      <c r="K10" s="692" t="s">
        <v>1817</v>
      </c>
      <c r="L10" s="693"/>
      <c r="N10" s="562">
        <f t="shared" si="0"/>
        <v>200000.01</v>
      </c>
      <c r="O10" s="563">
        <v>300000</v>
      </c>
      <c r="P10" s="563">
        <v>2797.52</v>
      </c>
      <c r="Q10" s="564">
        <v>0.02</v>
      </c>
      <c r="S10" s="780"/>
    </row>
    <row r="11" spans="2:21" s="467" customFormat="1" ht="15" customHeight="1" x14ac:dyDescent="0.35">
      <c r="B11" s="759" t="s">
        <v>1615</v>
      </c>
      <c r="C11" s="677" t="s">
        <v>1092</v>
      </c>
      <c r="D11" s="663"/>
      <c r="E11" s="663"/>
      <c r="F11" s="663"/>
      <c r="G11" s="684" t="s">
        <v>1097</v>
      </c>
      <c r="H11" s="684"/>
      <c r="I11" s="684"/>
      <c r="J11" s="677"/>
      <c r="K11" s="692" t="s">
        <v>1917</v>
      </c>
      <c r="L11" s="693"/>
      <c r="S11" s="780"/>
    </row>
    <row r="12" spans="2:21" s="467" customFormat="1" ht="15" customHeight="1" x14ac:dyDescent="0.35">
      <c r="B12" s="759" t="s">
        <v>1616</v>
      </c>
      <c r="C12" s="677" t="s">
        <v>1093</v>
      </c>
      <c r="D12" s="663"/>
      <c r="E12" s="663"/>
      <c r="F12" s="663"/>
      <c r="G12" s="684" t="s">
        <v>1098</v>
      </c>
      <c r="H12" s="684"/>
      <c r="I12" s="684"/>
      <c r="J12" s="677"/>
      <c r="K12" s="692" t="s">
        <v>1917</v>
      </c>
      <c r="L12" s="693"/>
      <c r="S12" s="780"/>
    </row>
    <row r="13" spans="2:21" s="467" customFormat="1" ht="15" hidden="1" customHeight="1" outlineLevel="1" x14ac:dyDescent="0.35">
      <c r="B13" s="759" t="s">
        <v>1617</v>
      </c>
      <c r="C13" s="677" t="s">
        <v>1094</v>
      </c>
      <c r="D13" s="663"/>
      <c r="E13" s="663"/>
      <c r="F13" s="663"/>
      <c r="G13" s="684" t="s">
        <v>1099</v>
      </c>
      <c r="H13" s="684"/>
      <c r="I13" s="684"/>
      <c r="J13" s="677"/>
      <c r="K13" s="692" t="s">
        <v>1917</v>
      </c>
      <c r="L13" s="693"/>
      <c r="S13" s="780"/>
    </row>
    <row r="14" spans="2:21" s="467" customFormat="1" ht="15" hidden="1" customHeight="1" outlineLevel="1" x14ac:dyDescent="0.35">
      <c r="B14" s="759" t="s">
        <v>1618</v>
      </c>
      <c r="C14" s="677" t="s">
        <v>1095</v>
      </c>
      <c r="D14" s="663"/>
      <c r="E14" s="663"/>
      <c r="F14" s="663"/>
      <c r="G14" s="684" t="s">
        <v>1100</v>
      </c>
      <c r="H14" s="684"/>
      <c r="I14" s="684"/>
      <c r="J14" s="677"/>
      <c r="K14" s="692" t="s">
        <v>1917</v>
      </c>
      <c r="L14" s="693"/>
      <c r="S14" s="780"/>
    </row>
    <row r="15" spans="2:21" s="467" customFormat="1" ht="15" hidden="1" customHeight="1" outlineLevel="1" x14ac:dyDescent="0.35">
      <c r="B15" s="759" t="s">
        <v>1619</v>
      </c>
      <c r="C15" s="677" t="s">
        <v>1174</v>
      </c>
      <c r="D15" s="663"/>
      <c r="E15" s="663"/>
      <c r="F15" s="663"/>
      <c r="G15" s="684" t="s">
        <v>1179</v>
      </c>
      <c r="H15" s="684"/>
      <c r="I15" s="684"/>
      <c r="J15" s="677"/>
      <c r="K15" s="692" t="s">
        <v>1917</v>
      </c>
      <c r="L15" s="693"/>
      <c r="S15" s="780"/>
    </row>
    <row r="16" spans="2:21" s="467" customFormat="1" ht="15" hidden="1" customHeight="1" outlineLevel="1" x14ac:dyDescent="0.35">
      <c r="B16" s="759" t="s">
        <v>1620</v>
      </c>
      <c r="C16" s="677" t="s">
        <v>1175</v>
      </c>
      <c r="D16" s="663"/>
      <c r="E16" s="663"/>
      <c r="F16" s="663"/>
      <c r="G16" s="684" t="s">
        <v>1180</v>
      </c>
      <c r="H16" s="684"/>
      <c r="I16" s="684"/>
      <c r="J16" s="677"/>
      <c r="K16" s="692" t="s">
        <v>1917</v>
      </c>
      <c r="L16" s="693"/>
      <c r="S16" s="780"/>
    </row>
    <row r="17" spans="2:19" s="467" customFormat="1" ht="15" hidden="1" customHeight="1" outlineLevel="1" x14ac:dyDescent="0.35">
      <c r="B17" s="759" t="s">
        <v>1621</v>
      </c>
      <c r="C17" s="677" t="s">
        <v>1176</v>
      </c>
      <c r="D17" s="663"/>
      <c r="E17" s="663"/>
      <c r="F17" s="663"/>
      <c r="G17" s="684" t="s">
        <v>1181</v>
      </c>
      <c r="H17" s="684"/>
      <c r="I17" s="684"/>
      <c r="J17" s="677"/>
      <c r="K17" s="692" t="s">
        <v>1917</v>
      </c>
      <c r="L17" s="693"/>
      <c r="S17" s="780"/>
    </row>
    <row r="18" spans="2:19" s="467" customFormat="1" ht="15" hidden="1" customHeight="1" outlineLevel="1" x14ac:dyDescent="0.35">
      <c r="B18" s="759" t="s">
        <v>1622</v>
      </c>
      <c r="C18" s="677" t="s">
        <v>1177</v>
      </c>
      <c r="D18" s="663"/>
      <c r="E18" s="663"/>
      <c r="F18" s="663"/>
      <c r="G18" s="684" t="s">
        <v>1182</v>
      </c>
      <c r="H18" s="684"/>
      <c r="I18" s="684"/>
      <c r="J18" s="677"/>
      <c r="K18" s="692" t="s">
        <v>1917</v>
      </c>
      <c r="L18" s="693"/>
      <c r="S18" s="780"/>
    </row>
    <row r="19" spans="2:19" s="467" customFormat="1" ht="15" hidden="1" customHeight="1" outlineLevel="1" x14ac:dyDescent="0.35">
      <c r="B19" s="759" t="s">
        <v>1623</v>
      </c>
      <c r="C19" s="677" t="s">
        <v>1178</v>
      </c>
      <c r="D19" s="663"/>
      <c r="E19" s="663"/>
      <c r="F19" s="663"/>
      <c r="G19" s="684" t="s">
        <v>1183</v>
      </c>
      <c r="H19" s="684"/>
      <c r="I19" s="684"/>
      <c r="J19" s="677"/>
      <c r="K19" s="692" t="s">
        <v>1917</v>
      </c>
      <c r="L19" s="693"/>
      <c r="S19" s="780"/>
    </row>
    <row r="20" spans="2:19" s="467" customFormat="1" ht="15" customHeight="1" collapsed="1" x14ac:dyDescent="0.35">
      <c r="B20" s="759" t="s">
        <v>1624</v>
      </c>
      <c r="C20" s="677" t="s">
        <v>1284</v>
      </c>
      <c r="D20" s="667">
        <v>2026</v>
      </c>
      <c r="E20" s="667"/>
      <c r="F20" s="667"/>
      <c r="G20" s="685" t="s">
        <v>2</v>
      </c>
      <c r="H20" s="685"/>
      <c r="I20" s="685"/>
      <c r="J20" s="677"/>
      <c r="K20" s="692" t="s">
        <v>1817</v>
      </c>
      <c r="L20" s="693"/>
      <c r="S20" s="780"/>
    </row>
    <row r="21" spans="2:19" s="467" customFormat="1" ht="15" customHeight="1" x14ac:dyDescent="0.35">
      <c r="B21" s="759" t="s">
        <v>2099</v>
      </c>
      <c r="C21" s="677" t="s">
        <v>2100</v>
      </c>
      <c r="D21" s="667" t="s">
        <v>2101</v>
      </c>
      <c r="E21" s="663"/>
      <c r="F21" s="663"/>
      <c r="G21" s="685" t="s">
        <v>2</v>
      </c>
      <c r="H21" s="684"/>
      <c r="I21" s="684"/>
      <c r="J21" s="677"/>
      <c r="K21" s="692" t="s">
        <v>1817</v>
      </c>
      <c r="L21" s="693"/>
      <c r="S21" s="780"/>
    </row>
    <row r="22" spans="2:19" s="467" customFormat="1" ht="6" customHeight="1" x14ac:dyDescent="0.35">
      <c r="B22" s="759"/>
      <c r="C22" s="677"/>
      <c r="D22" s="663"/>
      <c r="E22" s="663"/>
      <c r="F22" s="663"/>
      <c r="G22" s="684"/>
      <c r="H22" s="684"/>
      <c r="I22" s="684"/>
      <c r="J22" s="677"/>
      <c r="K22" s="692"/>
      <c r="L22" s="693"/>
      <c r="S22" s="780"/>
    </row>
    <row r="23" spans="2:19" x14ac:dyDescent="0.35">
      <c r="B23" s="672"/>
      <c r="C23" s="754" t="s">
        <v>1592</v>
      </c>
      <c r="D23" s="673"/>
      <c r="E23" s="673"/>
      <c r="F23" s="673"/>
      <c r="G23" s="686"/>
      <c r="H23" s="673"/>
      <c r="I23" s="673"/>
      <c r="J23" s="673"/>
      <c r="K23" s="703"/>
      <c r="L23" s="675"/>
    </row>
    <row r="24" spans="2:19" s="467" customFormat="1" ht="15" customHeight="1" x14ac:dyDescent="0.35">
      <c r="B24" s="759" t="s">
        <v>1629</v>
      </c>
      <c r="C24" s="677" t="s">
        <v>1591</v>
      </c>
      <c r="D24" s="669" t="s">
        <v>2169</v>
      </c>
      <c r="E24" s="669"/>
      <c r="F24" s="669"/>
      <c r="G24" s="682" t="s">
        <v>9</v>
      </c>
      <c r="H24" s="682"/>
      <c r="I24" s="682"/>
      <c r="J24" s="685"/>
      <c r="K24" s="692" t="s">
        <v>1817</v>
      </c>
      <c r="L24" s="695"/>
      <c r="M24" s="1"/>
      <c r="N24" s="1"/>
      <c r="O24" s="1"/>
      <c r="P24" s="1"/>
      <c r="Q24" s="1"/>
      <c r="R24" s="1"/>
      <c r="S24" s="780"/>
    </row>
    <row r="25" spans="2:19" s="467" customFormat="1" ht="15" customHeight="1" x14ac:dyDescent="0.35">
      <c r="B25" s="759" t="s">
        <v>1630</v>
      </c>
      <c r="C25" s="677" t="s">
        <v>1590</v>
      </c>
      <c r="D25" s="663" t="s">
        <v>1173</v>
      </c>
      <c r="E25" s="663"/>
      <c r="F25" s="663"/>
      <c r="G25" s="684" t="s">
        <v>10</v>
      </c>
      <c r="H25" s="684"/>
      <c r="I25" s="684"/>
      <c r="J25" s="685"/>
      <c r="K25" s="692" t="s">
        <v>1817</v>
      </c>
      <c r="L25" s="695"/>
      <c r="M25" s="1"/>
      <c r="N25" s="1"/>
      <c r="O25" s="1"/>
      <c r="P25" s="1"/>
      <c r="Q25" s="1"/>
      <c r="R25" s="1"/>
      <c r="S25" s="780"/>
    </row>
    <row r="26" spans="2:19" s="467" customFormat="1" ht="15" customHeight="1" x14ac:dyDescent="0.35">
      <c r="B26" s="759" t="s">
        <v>1631</v>
      </c>
      <c r="C26" s="677" t="s">
        <v>1593</v>
      </c>
      <c r="D26" s="663" t="s">
        <v>2440</v>
      </c>
      <c r="E26" s="663"/>
      <c r="F26" s="663"/>
      <c r="G26" s="684" t="s">
        <v>1626</v>
      </c>
      <c r="H26" s="684"/>
      <c r="I26" s="684"/>
      <c r="J26" s="685"/>
      <c r="K26" s="692" t="s">
        <v>1817</v>
      </c>
      <c r="L26" s="695"/>
      <c r="M26" s="1"/>
      <c r="N26" s="1"/>
      <c r="O26" s="1"/>
      <c r="P26" s="1"/>
      <c r="Q26" s="1"/>
      <c r="R26" s="1"/>
      <c r="S26" s="780"/>
    </row>
    <row r="27" spans="2:19" s="467" customFormat="1" ht="15" hidden="1" customHeight="1" outlineLevel="1" x14ac:dyDescent="0.35">
      <c r="B27" s="759" t="s">
        <v>1995</v>
      </c>
      <c r="C27" s="677" t="s">
        <v>1997</v>
      </c>
      <c r="D27" s="663"/>
      <c r="E27" s="663"/>
      <c r="F27" s="663"/>
      <c r="G27" s="684" t="s">
        <v>2002</v>
      </c>
      <c r="H27" s="684"/>
      <c r="I27" s="684"/>
      <c r="J27" s="685"/>
      <c r="K27" s="692" t="s">
        <v>1917</v>
      </c>
      <c r="L27" s="695"/>
      <c r="M27" s="1"/>
      <c r="N27" s="1"/>
      <c r="O27" s="1"/>
      <c r="P27" s="1"/>
      <c r="Q27" s="1"/>
      <c r="R27" s="1"/>
      <c r="S27" s="780"/>
    </row>
    <row r="28" spans="2:19" s="467" customFormat="1" ht="15" hidden="1" customHeight="1" outlineLevel="1" x14ac:dyDescent="0.35">
      <c r="B28" s="759" t="s">
        <v>1996</v>
      </c>
      <c r="C28" s="677" t="s">
        <v>1998</v>
      </c>
      <c r="D28" s="663"/>
      <c r="E28" s="663"/>
      <c r="F28" s="663"/>
      <c r="G28" s="684" t="s">
        <v>2001</v>
      </c>
      <c r="H28" s="684"/>
      <c r="I28" s="684"/>
      <c r="J28" s="685"/>
      <c r="K28" s="692" t="s">
        <v>1917</v>
      </c>
      <c r="L28" s="695"/>
      <c r="M28" s="1"/>
      <c r="N28" s="1"/>
      <c r="O28" s="1"/>
      <c r="P28" s="1"/>
      <c r="Q28" s="1"/>
      <c r="R28" s="1"/>
      <c r="S28" s="780"/>
    </row>
    <row r="29" spans="2:19" s="467" customFormat="1" ht="15" hidden="1" customHeight="1" outlineLevel="1" x14ac:dyDescent="0.35">
      <c r="B29" s="759" t="s">
        <v>1994</v>
      </c>
      <c r="C29" s="677" t="s">
        <v>1999</v>
      </c>
      <c r="D29" s="663"/>
      <c r="E29" s="663"/>
      <c r="F29" s="663"/>
      <c r="G29" s="684" t="s">
        <v>2000</v>
      </c>
      <c r="H29" s="684"/>
      <c r="I29" s="684"/>
      <c r="J29" s="685"/>
      <c r="K29" s="692" t="s">
        <v>1917</v>
      </c>
      <c r="L29" s="695"/>
      <c r="M29" s="1"/>
      <c r="N29" s="1"/>
      <c r="O29" s="1"/>
      <c r="P29" s="1"/>
      <c r="Q29" s="1"/>
      <c r="R29" s="1"/>
      <c r="S29" s="780"/>
    </row>
    <row r="30" spans="2:19" s="467" customFormat="1" ht="14.5" customHeight="1" collapsed="1" thickBot="1" x14ac:dyDescent="0.4">
      <c r="B30" s="763"/>
      <c r="C30" s="688"/>
      <c r="D30" s="670"/>
      <c r="E30" s="670"/>
      <c r="F30" s="670"/>
      <c r="G30" s="688"/>
      <c r="H30" s="688"/>
      <c r="I30" s="688"/>
      <c r="J30" s="696"/>
      <c r="K30" s="697"/>
      <c r="L30" s="698"/>
      <c r="M30" s="1"/>
      <c r="N30" s="1"/>
      <c r="O30" s="1"/>
      <c r="P30" s="1"/>
      <c r="Q30" s="1"/>
      <c r="R30" s="1"/>
      <c r="S30" s="780"/>
    </row>
    <row r="31" spans="2:19" s="467" customFormat="1" ht="15" customHeight="1" thickBot="1" x14ac:dyDescent="0.4">
      <c r="K31" s="468"/>
      <c r="S31" s="780"/>
    </row>
    <row r="32" spans="2:19" ht="23" thickBot="1" x14ac:dyDescent="0.4">
      <c r="B32" s="524"/>
      <c r="C32" s="525" t="s">
        <v>1594</v>
      </c>
      <c r="D32" s="525"/>
      <c r="E32" s="525"/>
      <c r="F32" s="525"/>
      <c r="G32" s="525"/>
      <c r="H32" s="525"/>
      <c r="I32" s="525"/>
      <c r="J32" s="525"/>
      <c r="K32" s="527"/>
      <c r="L32" s="526"/>
    </row>
    <row r="33" spans="2:19" s="467" customFormat="1" ht="6" customHeight="1" thickTop="1" x14ac:dyDescent="0.35">
      <c r="B33" s="759"/>
      <c r="C33" s="677"/>
      <c r="D33" s="667"/>
      <c r="E33" s="667"/>
      <c r="F33" s="667"/>
      <c r="G33" s="685"/>
      <c r="H33" s="685"/>
      <c r="I33" s="685"/>
      <c r="J33" s="685"/>
      <c r="K33" s="692"/>
      <c r="L33" s="695"/>
      <c r="S33" s="780"/>
    </row>
    <row r="34" spans="2:19" x14ac:dyDescent="0.35">
      <c r="B34" s="672"/>
      <c r="C34" s="754" t="s">
        <v>1595</v>
      </c>
      <c r="D34" s="673"/>
      <c r="E34" s="673"/>
      <c r="F34" s="673"/>
      <c r="G34" s="673"/>
      <c r="H34" s="673"/>
      <c r="I34" s="673"/>
      <c r="J34" s="673"/>
      <c r="K34" s="703"/>
      <c r="L34" s="675"/>
    </row>
    <row r="35" spans="2:19" s="467" customFormat="1" ht="15" hidden="1" customHeight="1" outlineLevel="1" x14ac:dyDescent="0.35">
      <c r="B35" s="759" t="s">
        <v>1632</v>
      </c>
      <c r="C35" s="677" t="s">
        <v>1575</v>
      </c>
      <c r="D35" s="669" t="s">
        <v>2149</v>
      </c>
      <c r="E35" s="669"/>
      <c r="F35" s="669"/>
      <c r="G35" s="682" t="s">
        <v>2</v>
      </c>
      <c r="H35" s="682"/>
      <c r="I35" s="682"/>
      <c r="J35" s="682"/>
      <c r="K35" s="704" t="s">
        <v>1917</v>
      </c>
      <c r="L35" s="699"/>
      <c r="S35" s="780"/>
    </row>
    <row r="36" spans="2:19" s="467" customFormat="1" ht="15" hidden="1" customHeight="1" outlineLevel="1" x14ac:dyDescent="0.35">
      <c r="B36" s="759" t="s">
        <v>1633</v>
      </c>
      <c r="C36" s="677" t="s">
        <v>1576</v>
      </c>
      <c r="D36" s="669" t="s">
        <v>1539</v>
      </c>
      <c r="E36" s="669"/>
      <c r="F36" s="669"/>
      <c r="G36" s="682" t="s">
        <v>2</v>
      </c>
      <c r="H36" s="682"/>
      <c r="I36" s="682"/>
      <c r="J36" s="682"/>
      <c r="K36" s="704" t="s">
        <v>1917</v>
      </c>
      <c r="L36" s="699"/>
      <c r="S36" s="780"/>
    </row>
    <row r="37" spans="2:19" s="467" customFormat="1" ht="15" hidden="1" customHeight="1" outlineLevel="1" x14ac:dyDescent="0.35">
      <c r="B37" s="759" t="s">
        <v>1634</v>
      </c>
      <c r="C37" s="677" t="s">
        <v>1577</v>
      </c>
      <c r="D37" s="669" t="s">
        <v>2150</v>
      </c>
      <c r="E37" s="669"/>
      <c r="F37" s="669"/>
      <c r="G37" s="682" t="s">
        <v>2</v>
      </c>
      <c r="H37" s="682"/>
      <c r="I37" s="682"/>
      <c r="J37" s="682"/>
      <c r="K37" s="704" t="s">
        <v>1917</v>
      </c>
      <c r="L37" s="699"/>
      <c r="S37" s="780"/>
    </row>
    <row r="38" spans="2:19" s="467" customFormat="1" ht="15" hidden="1" customHeight="1" outlineLevel="1" x14ac:dyDescent="0.35">
      <c r="B38" s="759" t="s">
        <v>1635</v>
      </c>
      <c r="C38" s="677" t="s">
        <v>1587</v>
      </c>
      <c r="D38" s="706" t="s">
        <v>2157</v>
      </c>
      <c r="E38" s="669"/>
      <c r="F38" s="669"/>
      <c r="G38" s="682" t="s">
        <v>2</v>
      </c>
      <c r="H38" s="682"/>
      <c r="I38" s="682"/>
      <c r="J38" s="682"/>
      <c r="K38" s="704" t="s">
        <v>1917</v>
      </c>
      <c r="L38" s="699"/>
      <c r="S38" s="780"/>
    </row>
    <row r="39" spans="2:19" s="467" customFormat="1" ht="15" hidden="1" customHeight="1" outlineLevel="1" x14ac:dyDescent="0.35">
      <c r="B39" s="759" t="s">
        <v>1882</v>
      </c>
      <c r="C39" s="677" t="s">
        <v>1881</v>
      </c>
      <c r="D39" s="669" t="s">
        <v>2139</v>
      </c>
      <c r="E39" s="669"/>
      <c r="F39" s="669"/>
      <c r="G39" s="682" t="s">
        <v>2</v>
      </c>
      <c r="H39" s="682"/>
      <c r="I39" s="682"/>
      <c r="J39" s="682"/>
      <c r="K39" s="704" t="s">
        <v>1917</v>
      </c>
      <c r="L39" s="699"/>
      <c r="S39" s="780"/>
    </row>
    <row r="40" spans="2:19" s="467" customFormat="1" ht="15" hidden="1" customHeight="1" outlineLevel="1" x14ac:dyDescent="0.35">
      <c r="B40" s="759" t="s">
        <v>1637</v>
      </c>
      <c r="C40" s="677" t="s">
        <v>1578</v>
      </c>
      <c r="D40" s="669"/>
      <c r="E40" s="669"/>
      <c r="F40" s="669"/>
      <c r="G40" s="682" t="s">
        <v>2</v>
      </c>
      <c r="H40" s="682"/>
      <c r="I40" s="682"/>
      <c r="J40" s="682"/>
      <c r="K40" s="704" t="s">
        <v>1917</v>
      </c>
      <c r="L40" s="699"/>
      <c r="S40" s="780"/>
    </row>
    <row r="41" spans="2:19" s="467" customFormat="1" ht="15" hidden="1" customHeight="1" outlineLevel="1" x14ac:dyDescent="0.35">
      <c r="B41" s="759" t="s">
        <v>1638</v>
      </c>
      <c r="C41" s="677" t="s">
        <v>1581</v>
      </c>
      <c r="D41" s="669"/>
      <c r="E41" s="669"/>
      <c r="F41" s="669"/>
      <c r="G41" s="682" t="s">
        <v>2</v>
      </c>
      <c r="H41" s="682"/>
      <c r="I41" s="682"/>
      <c r="J41" s="682"/>
      <c r="K41" s="704" t="s">
        <v>1917</v>
      </c>
      <c r="L41" s="699"/>
      <c r="S41" s="780"/>
    </row>
    <row r="42" spans="2:19" s="467" customFormat="1" ht="15" hidden="1" customHeight="1" outlineLevel="1" x14ac:dyDescent="0.35">
      <c r="B42" s="759" t="s">
        <v>1636</v>
      </c>
      <c r="C42" s="677" t="s">
        <v>1579</v>
      </c>
      <c r="D42" s="669" t="s">
        <v>745</v>
      </c>
      <c r="E42" s="669"/>
      <c r="F42" s="669"/>
      <c r="G42" s="682" t="s">
        <v>2</v>
      </c>
      <c r="H42" s="682"/>
      <c r="I42" s="682"/>
      <c r="J42" s="682"/>
      <c r="K42" s="704" t="s">
        <v>1917</v>
      </c>
      <c r="L42" s="699"/>
      <c r="S42" s="780"/>
    </row>
    <row r="43" spans="2:19" s="467" customFormat="1" ht="15" hidden="1" customHeight="1" outlineLevel="1" x14ac:dyDescent="0.35">
      <c r="B43" s="759" t="s">
        <v>1639</v>
      </c>
      <c r="C43" s="677" t="s">
        <v>1605</v>
      </c>
      <c r="D43" s="669" t="s">
        <v>745</v>
      </c>
      <c r="E43" s="669"/>
      <c r="F43" s="669"/>
      <c r="G43" s="682" t="s">
        <v>2</v>
      </c>
      <c r="H43" s="682"/>
      <c r="I43" s="682"/>
      <c r="J43" s="682"/>
      <c r="K43" s="704" t="s">
        <v>1917</v>
      </c>
      <c r="L43" s="699"/>
      <c r="S43" s="780"/>
    </row>
    <row r="44" spans="2:19" s="467" customFormat="1" ht="15" hidden="1" customHeight="1" outlineLevel="1" x14ac:dyDescent="0.35">
      <c r="B44" s="759" t="s">
        <v>1640</v>
      </c>
      <c r="C44" s="677" t="s">
        <v>1606</v>
      </c>
      <c r="D44" s="676" t="s">
        <v>1406</v>
      </c>
      <c r="E44" s="676"/>
      <c r="F44" s="676"/>
      <c r="G44" s="700" t="s">
        <v>2</v>
      </c>
      <c r="H44" s="700"/>
      <c r="I44" s="700"/>
      <c r="J44" s="700"/>
      <c r="K44" s="704" t="s">
        <v>1917</v>
      </c>
      <c r="L44" s="701"/>
      <c r="S44" s="780"/>
    </row>
    <row r="45" spans="2:19" s="467" customFormat="1" ht="15" hidden="1" customHeight="1" outlineLevel="1" x14ac:dyDescent="0.35">
      <c r="B45" s="759" t="s">
        <v>1664</v>
      </c>
      <c r="C45" s="677" t="s">
        <v>1665</v>
      </c>
      <c r="D45" s="676" t="s">
        <v>619</v>
      </c>
      <c r="E45" s="676"/>
      <c r="F45" s="676"/>
      <c r="G45" s="700" t="s">
        <v>2</v>
      </c>
      <c r="H45" s="700"/>
      <c r="I45" s="700"/>
      <c r="J45" s="700"/>
      <c r="K45" s="704" t="s">
        <v>1917</v>
      </c>
      <c r="L45" s="701"/>
      <c r="S45" s="780"/>
    </row>
    <row r="46" spans="2:19" s="467" customFormat="1" ht="15" hidden="1" customHeight="1" outlineLevel="1" x14ac:dyDescent="0.35">
      <c r="B46" s="759" t="s">
        <v>1641</v>
      </c>
      <c r="C46" s="677" t="s">
        <v>1607</v>
      </c>
      <c r="D46" s="669" t="s">
        <v>1580</v>
      </c>
      <c r="E46" s="669"/>
      <c r="F46" s="669"/>
      <c r="G46" s="682" t="s">
        <v>2</v>
      </c>
      <c r="H46" s="682"/>
      <c r="I46" s="682"/>
      <c r="J46" s="682"/>
      <c r="K46" s="704" t="s">
        <v>1917</v>
      </c>
      <c r="L46" s="699"/>
      <c r="S46" s="780"/>
    </row>
    <row r="47" spans="2:19" s="467" customFormat="1" ht="6" hidden="1" customHeight="1" outlineLevel="1" x14ac:dyDescent="0.35">
      <c r="B47" s="759"/>
      <c r="C47" s="677"/>
      <c r="D47" s="676"/>
      <c r="E47" s="676"/>
      <c r="F47" s="676"/>
      <c r="G47" s="700"/>
      <c r="H47" s="700"/>
      <c r="I47" s="700"/>
      <c r="J47" s="700"/>
      <c r="K47" s="704"/>
      <c r="L47" s="701"/>
      <c r="S47" s="780"/>
    </row>
    <row r="48" spans="2:19" collapsed="1" x14ac:dyDescent="0.35">
      <c r="B48" s="672"/>
      <c r="C48" s="754" t="s">
        <v>2140</v>
      </c>
      <c r="D48" s="673"/>
      <c r="E48" s="673"/>
      <c r="F48" s="673"/>
      <c r="G48" s="673"/>
      <c r="H48" s="673"/>
      <c r="I48" s="673"/>
      <c r="J48" s="673"/>
      <c r="K48" s="703"/>
      <c r="L48" s="675"/>
    </row>
    <row r="49" spans="1:19" s="467" customFormat="1" ht="15" hidden="1" customHeight="1" outlineLevel="1" x14ac:dyDescent="0.35">
      <c r="B49" s="759" t="s">
        <v>1946</v>
      </c>
      <c r="C49" s="677" t="s">
        <v>1944</v>
      </c>
      <c r="D49" s="678" t="s">
        <v>2093</v>
      </c>
      <c r="E49" s="678" t="s">
        <v>2094</v>
      </c>
      <c r="F49" s="678" t="s">
        <v>2095</v>
      </c>
      <c r="G49" s="678" t="s">
        <v>2096</v>
      </c>
      <c r="H49" s="678" t="s">
        <v>2097</v>
      </c>
      <c r="I49" s="678" t="s">
        <v>2098</v>
      </c>
      <c r="J49" s="678"/>
      <c r="K49" s="692" t="s">
        <v>1917</v>
      </c>
      <c r="L49" s="679"/>
      <c r="S49" s="780"/>
    </row>
    <row r="50" spans="1:19" s="467" customFormat="1" ht="15" hidden="1" customHeight="1" outlineLevel="1" x14ac:dyDescent="0.35">
      <c r="A50" s="467" t="s">
        <v>1943</v>
      </c>
      <c r="B50" s="759" t="s">
        <v>1945</v>
      </c>
      <c r="C50" s="677" t="s">
        <v>1942</v>
      </c>
      <c r="D50" s="678" t="s">
        <v>1947</v>
      </c>
      <c r="E50" s="678" t="s">
        <v>1948</v>
      </c>
      <c r="F50" s="678" t="s">
        <v>1949</v>
      </c>
      <c r="G50" s="678" t="s">
        <v>1950</v>
      </c>
      <c r="H50" s="678" t="s">
        <v>1951</v>
      </c>
      <c r="I50" s="678" t="s">
        <v>1952</v>
      </c>
      <c r="J50" s="678"/>
      <c r="K50" s="692" t="s">
        <v>1917</v>
      </c>
      <c r="L50" s="679"/>
      <c r="S50" s="780"/>
    </row>
    <row r="51" spans="1:19" s="467" customFormat="1" ht="15" hidden="1" customHeight="1" outlineLevel="1" x14ac:dyDescent="0.35">
      <c r="B51" s="766"/>
      <c r="C51" s="664" t="s">
        <v>1685</v>
      </c>
      <c r="D51" s="665" t="s">
        <v>1677</v>
      </c>
      <c r="E51" s="665" t="s">
        <v>1678</v>
      </c>
      <c r="F51" s="665" t="s">
        <v>1679</v>
      </c>
      <c r="G51" s="665" t="s">
        <v>1680</v>
      </c>
      <c r="H51" s="665" t="s">
        <v>1681</v>
      </c>
      <c r="I51" s="665" t="s">
        <v>1682</v>
      </c>
      <c r="J51" s="668" t="s">
        <v>1687</v>
      </c>
      <c r="K51" s="668"/>
      <c r="L51" s="680"/>
      <c r="S51" s="780"/>
    </row>
    <row r="52" spans="1:19" s="467" customFormat="1" ht="15" hidden="1" customHeight="1" outlineLevel="1" x14ac:dyDescent="0.35">
      <c r="B52" s="759" t="s">
        <v>1684</v>
      </c>
      <c r="C52" s="677" t="s">
        <v>2165</v>
      </c>
      <c r="D52" s="678">
        <v>1</v>
      </c>
      <c r="E52" s="678">
        <v>1</v>
      </c>
      <c r="F52" s="678">
        <v>1</v>
      </c>
      <c r="G52" s="678">
        <v>1</v>
      </c>
      <c r="H52" s="678">
        <v>1</v>
      </c>
      <c r="I52" s="678">
        <v>1</v>
      </c>
      <c r="J52" s="752" t="s">
        <v>2166</v>
      </c>
      <c r="K52" s="692" t="s">
        <v>1917</v>
      </c>
      <c r="L52" s="679"/>
      <c r="S52" s="780"/>
    </row>
    <row r="53" spans="1:19" s="467" customFormat="1" ht="15" hidden="1" customHeight="1" outlineLevel="1" x14ac:dyDescent="0.35">
      <c r="B53" s="759" t="s">
        <v>1642</v>
      </c>
      <c r="C53" s="677"/>
      <c r="D53" s="678">
        <v>1</v>
      </c>
      <c r="E53" s="678">
        <v>1</v>
      </c>
      <c r="F53" s="678">
        <v>1</v>
      </c>
      <c r="G53" s="678">
        <v>1</v>
      </c>
      <c r="H53" s="678">
        <v>1</v>
      </c>
      <c r="I53" s="678">
        <v>1</v>
      </c>
      <c r="J53" s="752"/>
      <c r="K53" s="692" t="s">
        <v>1917</v>
      </c>
      <c r="L53" s="679"/>
      <c r="S53" s="780"/>
    </row>
    <row r="54" spans="1:19" s="467" customFormat="1" ht="15" hidden="1" customHeight="1" outlineLevel="1" x14ac:dyDescent="0.35">
      <c r="B54" s="759" t="s">
        <v>1683</v>
      </c>
      <c r="C54" s="677"/>
      <c r="D54" s="678">
        <v>1</v>
      </c>
      <c r="E54" s="678">
        <v>1</v>
      </c>
      <c r="F54" s="678">
        <v>1</v>
      </c>
      <c r="G54" s="678">
        <v>1</v>
      </c>
      <c r="H54" s="678">
        <v>1</v>
      </c>
      <c r="I54" s="678">
        <v>1</v>
      </c>
      <c r="J54" s="752"/>
      <c r="K54" s="692" t="s">
        <v>1917</v>
      </c>
      <c r="L54" s="679"/>
      <c r="S54" s="780"/>
    </row>
    <row r="55" spans="1:19" s="467" customFormat="1" ht="15" hidden="1" customHeight="1" outlineLevel="1" x14ac:dyDescent="0.35">
      <c r="B55" s="759" t="s">
        <v>1643</v>
      </c>
      <c r="C55" s="677"/>
      <c r="D55" s="678">
        <v>1</v>
      </c>
      <c r="E55" s="678">
        <v>1</v>
      </c>
      <c r="F55" s="678">
        <v>1</v>
      </c>
      <c r="G55" s="678">
        <v>1</v>
      </c>
      <c r="H55" s="678">
        <v>1</v>
      </c>
      <c r="I55" s="678">
        <v>1</v>
      </c>
      <c r="J55" s="752"/>
      <c r="K55" s="692" t="s">
        <v>1917</v>
      </c>
      <c r="L55" s="679"/>
      <c r="S55" s="780"/>
    </row>
    <row r="56" spans="1:19" s="467" customFormat="1" ht="15" hidden="1" customHeight="1" outlineLevel="1" x14ac:dyDescent="0.35">
      <c r="B56" s="759" t="s">
        <v>1644</v>
      </c>
      <c r="C56" s="677"/>
      <c r="D56" s="678">
        <v>1</v>
      </c>
      <c r="E56" s="678">
        <v>1</v>
      </c>
      <c r="F56" s="678">
        <v>1</v>
      </c>
      <c r="G56" s="678">
        <v>1</v>
      </c>
      <c r="H56" s="678">
        <v>1</v>
      </c>
      <c r="I56" s="678">
        <v>1</v>
      </c>
      <c r="J56" s="752"/>
      <c r="K56" s="692" t="s">
        <v>1917</v>
      </c>
      <c r="L56" s="679"/>
      <c r="S56" s="780"/>
    </row>
    <row r="57" spans="1:19" s="467" customFormat="1" ht="15" hidden="1" customHeight="1" outlineLevel="1" x14ac:dyDescent="0.35">
      <c r="B57" s="759" t="s">
        <v>1645</v>
      </c>
      <c r="C57" s="677"/>
      <c r="D57" s="678">
        <v>1</v>
      </c>
      <c r="E57" s="678">
        <v>1</v>
      </c>
      <c r="F57" s="678">
        <v>1</v>
      </c>
      <c r="G57" s="678">
        <v>1</v>
      </c>
      <c r="H57" s="678">
        <v>1</v>
      </c>
      <c r="I57" s="678">
        <v>1</v>
      </c>
      <c r="J57" s="752"/>
      <c r="K57" s="692" t="s">
        <v>1917</v>
      </c>
      <c r="L57" s="679"/>
      <c r="S57" s="780"/>
    </row>
    <row r="58" spans="1:19" s="467" customFormat="1" ht="15" hidden="1" customHeight="1" outlineLevel="1" x14ac:dyDescent="0.35">
      <c r="B58" s="759" t="s">
        <v>2141</v>
      </c>
      <c r="C58" s="677"/>
      <c r="D58" s="678">
        <v>1</v>
      </c>
      <c r="E58" s="678">
        <v>1</v>
      </c>
      <c r="F58" s="678">
        <v>1</v>
      </c>
      <c r="G58" s="678">
        <v>1</v>
      </c>
      <c r="H58" s="678">
        <v>1</v>
      </c>
      <c r="I58" s="678">
        <v>1</v>
      </c>
      <c r="J58" s="752"/>
      <c r="K58" s="692" t="s">
        <v>1917</v>
      </c>
      <c r="L58" s="679"/>
      <c r="S58" s="780"/>
    </row>
    <row r="59" spans="1:19" s="467" customFormat="1" ht="15" hidden="1" customHeight="1" outlineLevel="1" x14ac:dyDescent="0.35">
      <c r="B59" s="759" t="s">
        <v>2142</v>
      </c>
      <c r="C59" s="677"/>
      <c r="D59" s="678">
        <v>1</v>
      </c>
      <c r="E59" s="678">
        <v>1</v>
      </c>
      <c r="F59" s="678">
        <v>1</v>
      </c>
      <c r="G59" s="678">
        <v>1</v>
      </c>
      <c r="H59" s="678">
        <v>1</v>
      </c>
      <c r="I59" s="678">
        <v>1</v>
      </c>
      <c r="J59" s="752"/>
      <c r="K59" s="692" t="s">
        <v>1917</v>
      </c>
      <c r="L59" s="679"/>
      <c r="S59" s="780"/>
    </row>
    <row r="60" spans="1:19" s="467" customFormat="1" ht="15" hidden="1" customHeight="1" outlineLevel="1" x14ac:dyDescent="0.35">
      <c r="B60" s="759" t="s">
        <v>2143</v>
      </c>
      <c r="C60" s="677"/>
      <c r="D60" s="678">
        <v>1</v>
      </c>
      <c r="E60" s="678">
        <v>1</v>
      </c>
      <c r="F60" s="678">
        <v>1</v>
      </c>
      <c r="G60" s="678">
        <v>1</v>
      </c>
      <c r="H60" s="678">
        <v>1</v>
      </c>
      <c r="I60" s="678">
        <v>1</v>
      </c>
      <c r="J60" s="752"/>
      <c r="K60" s="692" t="s">
        <v>1917</v>
      </c>
      <c r="L60" s="679"/>
      <c r="S60" s="780"/>
    </row>
    <row r="61" spans="1:19" s="467" customFormat="1" ht="15" hidden="1" customHeight="1" outlineLevel="1" x14ac:dyDescent="0.35">
      <c r="B61" s="759" t="s">
        <v>2144</v>
      </c>
      <c r="C61" s="677"/>
      <c r="D61" s="678">
        <v>1</v>
      </c>
      <c r="E61" s="678">
        <v>1</v>
      </c>
      <c r="F61" s="678">
        <v>1</v>
      </c>
      <c r="G61" s="678">
        <v>1</v>
      </c>
      <c r="H61" s="678">
        <v>1</v>
      </c>
      <c r="I61" s="678">
        <v>1</v>
      </c>
      <c r="J61" s="752"/>
      <c r="K61" s="692" t="s">
        <v>1917</v>
      </c>
      <c r="L61" s="679"/>
      <c r="S61" s="780"/>
    </row>
    <row r="62" spans="1:19" s="467" customFormat="1" ht="6" hidden="1" customHeight="1" outlineLevel="1" x14ac:dyDescent="0.35">
      <c r="B62" s="759"/>
      <c r="C62" s="677"/>
      <c r="D62" s="681"/>
      <c r="E62" s="681"/>
      <c r="F62" s="681"/>
      <c r="G62" s="681"/>
      <c r="H62" s="681"/>
      <c r="I62" s="681"/>
      <c r="J62" s="705"/>
      <c r="K62" s="704"/>
      <c r="L62" s="683"/>
      <c r="S62" s="780"/>
    </row>
    <row r="63" spans="1:19" collapsed="1" x14ac:dyDescent="0.35">
      <c r="B63" s="672"/>
      <c r="C63" s="754" t="s">
        <v>2151</v>
      </c>
      <c r="D63" s="673"/>
      <c r="E63" s="673"/>
      <c r="F63" s="673"/>
      <c r="G63" s="673"/>
      <c r="H63" s="673"/>
      <c r="I63" s="673"/>
      <c r="J63" s="673"/>
      <c r="K63" s="703"/>
      <c r="L63" s="675"/>
    </row>
    <row r="64" spans="1:19" s="467" customFormat="1" ht="15" hidden="1" customHeight="1" outlineLevel="1" x14ac:dyDescent="0.35">
      <c r="B64" s="759" t="s">
        <v>1906</v>
      </c>
      <c r="C64" s="677" t="s">
        <v>1603</v>
      </c>
      <c r="D64" s="669" t="s">
        <v>1528</v>
      </c>
      <c r="E64" s="682"/>
      <c r="F64" s="682"/>
      <c r="G64" s="682" t="s">
        <v>1628</v>
      </c>
      <c r="H64" s="682"/>
      <c r="I64" s="682"/>
      <c r="J64" s="682"/>
      <c r="K64" s="692" t="s">
        <v>1917</v>
      </c>
      <c r="L64" s="699"/>
      <c r="S64" s="780"/>
    </row>
    <row r="65" spans="2:19" s="467" customFormat="1" ht="15" hidden="1" customHeight="1" outlineLevel="1" x14ac:dyDescent="0.35">
      <c r="B65" s="759" t="s">
        <v>1910</v>
      </c>
      <c r="C65" s="677" t="s">
        <v>1911</v>
      </c>
      <c r="D65" s="669" t="s">
        <v>1912</v>
      </c>
      <c r="E65" s="682"/>
      <c r="F65" s="682"/>
      <c r="G65" s="682" t="s">
        <v>1628</v>
      </c>
      <c r="H65" s="682"/>
      <c r="I65" s="682"/>
      <c r="J65" s="682"/>
      <c r="K65" s="692" t="s">
        <v>1917</v>
      </c>
      <c r="L65" s="699"/>
      <c r="S65" s="780"/>
    </row>
    <row r="66" spans="2:19" s="467" customFormat="1" ht="15" hidden="1" customHeight="1" outlineLevel="1" x14ac:dyDescent="0.35">
      <c r="B66" s="759" t="s">
        <v>1907</v>
      </c>
      <c r="C66" s="677" t="s">
        <v>1604</v>
      </c>
      <c r="D66" s="669" t="s">
        <v>1528</v>
      </c>
      <c r="E66" s="682"/>
      <c r="F66" s="682"/>
      <c r="G66" s="682" t="s">
        <v>1628</v>
      </c>
      <c r="H66" s="682"/>
      <c r="I66" s="682"/>
      <c r="J66" s="682"/>
      <c r="K66" s="692" t="s">
        <v>1917</v>
      </c>
      <c r="L66" s="699"/>
      <c r="S66" s="780"/>
    </row>
    <row r="67" spans="2:19" s="467" customFormat="1" ht="15" hidden="1" customHeight="1" outlineLevel="1" x14ac:dyDescent="0.35">
      <c r="B67" s="759" t="s">
        <v>1908</v>
      </c>
      <c r="C67" s="677" t="s">
        <v>1586</v>
      </c>
      <c r="D67" s="706" t="s">
        <v>2148</v>
      </c>
      <c r="E67" s="682"/>
      <c r="F67" s="682"/>
      <c r="G67" s="682" t="s">
        <v>2</v>
      </c>
      <c r="H67" s="682"/>
      <c r="I67" s="682"/>
      <c r="J67" s="682"/>
      <c r="K67" s="692" t="s">
        <v>1917</v>
      </c>
      <c r="L67" s="699"/>
      <c r="S67" s="780"/>
    </row>
    <row r="68" spans="2:19" s="467" customFormat="1" ht="15" hidden="1" customHeight="1" outlineLevel="1" x14ac:dyDescent="0.35">
      <c r="B68" s="759" t="s">
        <v>1893</v>
      </c>
      <c r="C68" s="677" t="s">
        <v>1895</v>
      </c>
      <c r="D68" s="669" t="s">
        <v>1909</v>
      </c>
      <c r="E68" s="682"/>
      <c r="F68" s="682"/>
      <c r="G68" s="682" t="s">
        <v>2145</v>
      </c>
      <c r="H68" s="682"/>
      <c r="I68" s="682"/>
      <c r="J68" s="682"/>
      <c r="K68" s="692" t="s">
        <v>1917</v>
      </c>
      <c r="L68" s="699"/>
      <c r="S68" s="780"/>
    </row>
    <row r="69" spans="2:19" s="467" customFormat="1" ht="15" hidden="1" customHeight="1" outlineLevel="1" x14ac:dyDescent="0.35">
      <c r="B69" s="759" t="s">
        <v>1894</v>
      </c>
      <c r="C69" s="677" t="s">
        <v>1896</v>
      </c>
      <c r="D69" s="669" t="s">
        <v>2167</v>
      </c>
      <c r="E69" s="682"/>
      <c r="F69" s="682"/>
      <c r="G69" s="682" t="s">
        <v>2</v>
      </c>
      <c r="H69" s="682"/>
      <c r="I69" s="682"/>
      <c r="J69" s="682"/>
      <c r="K69" s="692" t="s">
        <v>1917</v>
      </c>
      <c r="L69" s="699"/>
      <c r="S69" s="780"/>
    </row>
    <row r="70" spans="2:19" s="467" customFormat="1" ht="15" hidden="1" customHeight="1" outlineLevel="1" x14ac:dyDescent="0.35">
      <c r="B70" s="759" t="s">
        <v>1897</v>
      </c>
      <c r="C70" s="677" t="s">
        <v>1898</v>
      </c>
      <c r="D70" s="707" t="s">
        <v>2146</v>
      </c>
      <c r="E70" s="682"/>
      <c r="F70" s="682"/>
      <c r="G70" s="682" t="s">
        <v>2</v>
      </c>
      <c r="H70" s="682"/>
      <c r="I70" s="682"/>
      <c r="J70" s="682"/>
      <c r="K70" s="692" t="s">
        <v>1917</v>
      </c>
      <c r="L70" s="699"/>
      <c r="S70" s="780"/>
    </row>
    <row r="71" spans="2:19" s="467" customFormat="1" ht="15" hidden="1" customHeight="1" outlineLevel="1" x14ac:dyDescent="0.35">
      <c r="B71" s="759" t="s">
        <v>1901</v>
      </c>
      <c r="C71" s="677" t="s">
        <v>1899</v>
      </c>
      <c r="D71" s="669" t="s">
        <v>2147</v>
      </c>
      <c r="E71" s="682"/>
      <c r="F71" s="682"/>
      <c r="G71" s="682" t="s">
        <v>2</v>
      </c>
      <c r="H71" s="682"/>
      <c r="I71" s="682"/>
      <c r="J71" s="682"/>
      <c r="K71" s="692" t="s">
        <v>1917</v>
      </c>
      <c r="L71" s="699"/>
      <c r="S71" s="780"/>
    </row>
    <row r="72" spans="2:19" s="467" customFormat="1" ht="15" hidden="1" customHeight="1" outlineLevel="1" x14ac:dyDescent="0.35">
      <c r="B72" s="759" t="s">
        <v>1900</v>
      </c>
      <c r="C72" s="677" t="s">
        <v>1905</v>
      </c>
      <c r="D72" s="669" t="s">
        <v>1528</v>
      </c>
      <c r="E72" s="682"/>
      <c r="F72" s="682"/>
      <c r="G72" s="682" t="s">
        <v>2</v>
      </c>
      <c r="H72" s="682"/>
      <c r="I72" s="682"/>
      <c r="J72" s="682"/>
      <c r="K72" s="692" t="s">
        <v>1917</v>
      </c>
      <c r="L72" s="699"/>
      <c r="S72" s="780"/>
    </row>
    <row r="73" spans="2:19" s="467" customFormat="1" ht="15" hidden="1" customHeight="1" outlineLevel="1" x14ac:dyDescent="0.35">
      <c r="B73" s="759" t="s">
        <v>1902</v>
      </c>
      <c r="C73" s="677" t="s">
        <v>1903</v>
      </c>
      <c r="D73" s="682"/>
      <c r="E73" s="682"/>
      <c r="F73" s="682"/>
      <c r="G73" s="669" t="s">
        <v>9</v>
      </c>
      <c r="H73" s="682"/>
      <c r="I73" s="682"/>
      <c r="J73" s="682"/>
      <c r="K73" s="692" t="s">
        <v>1917</v>
      </c>
      <c r="L73" s="699"/>
      <c r="S73" s="780"/>
    </row>
    <row r="74" spans="2:19" s="467" customFormat="1" ht="227.5" hidden="1" customHeight="1" outlineLevel="1" x14ac:dyDescent="0.35">
      <c r="B74" s="765" t="s">
        <v>1904</v>
      </c>
      <c r="C74" s="932" t="s">
        <v>1913</v>
      </c>
      <c r="D74" s="932"/>
      <c r="E74" s="932"/>
      <c r="F74" s="932"/>
      <c r="G74" s="932"/>
      <c r="H74" s="932"/>
      <c r="I74" s="932"/>
      <c r="J74" s="702"/>
      <c r="K74" s="692" t="s">
        <v>1917</v>
      </c>
      <c r="L74" s="699"/>
      <c r="S74" s="780"/>
    </row>
    <row r="75" spans="2:19" collapsed="1" x14ac:dyDescent="0.35">
      <c r="B75" s="672"/>
      <c r="C75" s="754" t="s">
        <v>2152</v>
      </c>
      <c r="D75" s="673"/>
      <c r="E75" s="673"/>
      <c r="F75" s="673"/>
      <c r="G75" s="673"/>
      <c r="H75" s="673"/>
      <c r="I75" s="673"/>
      <c r="J75" s="673"/>
      <c r="K75" s="703"/>
      <c r="L75" s="675"/>
    </row>
    <row r="76" spans="2:19" s="467" customFormat="1" ht="15" hidden="1" customHeight="1" outlineLevel="1" x14ac:dyDescent="0.35">
      <c r="B76" s="759" t="s">
        <v>1653</v>
      </c>
      <c r="C76" s="677" t="s">
        <v>1582</v>
      </c>
      <c r="D76" s="669" t="s">
        <v>1815</v>
      </c>
      <c r="E76" s="669"/>
      <c r="F76" s="669"/>
      <c r="G76" s="682" t="s">
        <v>1628</v>
      </c>
      <c r="H76" s="682"/>
      <c r="I76" s="682"/>
      <c r="J76" s="682"/>
      <c r="K76" s="692" t="s">
        <v>1917</v>
      </c>
      <c r="L76" s="699"/>
      <c r="S76" s="780"/>
    </row>
    <row r="77" spans="2:19" s="467" customFormat="1" ht="15" hidden="1" customHeight="1" outlineLevel="1" x14ac:dyDescent="0.35">
      <c r="B77" s="759" t="s">
        <v>1652</v>
      </c>
      <c r="C77" s="677" t="s">
        <v>1583</v>
      </c>
      <c r="D77" s="669" t="s">
        <v>1815</v>
      </c>
      <c r="E77" s="669"/>
      <c r="F77" s="669"/>
      <c r="G77" s="682" t="s">
        <v>1628</v>
      </c>
      <c r="H77" s="682"/>
      <c r="I77" s="682"/>
      <c r="J77" s="682"/>
      <c r="K77" s="692" t="s">
        <v>1917</v>
      </c>
      <c r="L77" s="699"/>
      <c r="S77" s="780"/>
    </row>
    <row r="78" spans="2:19" s="467" customFormat="1" ht="15" hidden="1" customHeight="1" outlineLevel="1" x14ac:dyDescent="0.35">
      <c r="B78" s="759" t="s">
        <v>2090</v>
      </c>
      <c r="C78" s="677" t="s">
        <v>2087</v>
      </c>
      <c r="D78" s="669" t="s">
        <v>2091</v>
      </c>
      <c r="E78" s="669"/>
      <c r="F78" s="669"/>
      <c r="G78" s="682" t="s">
        <v>1628</v>
      </c>
      <c r="H78" s="682"/>
      <c r="I78" s="682"/>
      <c r="J78" s="682"/>
      <c r="K78" s="692" t="s">
        <v>1917</v>
      </c>
      <c r="L78" s="699"/>
      <c r="S78" s="780"/>
    </row>
    <row r="79" spans="2:19" s="467" customFormat="1" ht="15" hidden="1" customHeight="1" outlineLevel="1" x14ac:dyDescent="0.35">
      <c r="B79" s="759" t="s">
        <v>2089</v>
      </c>
      <c r="C79" s="677" t="s">
        <v>2088</v>
      </c>
      <c r="D79" s="669" t="s">
        <v>745</v>
      </c>
      <c r="E79" s="669"/>
      <c r="F79" s="669"/>
      <c r="G79" s="682" t="s">
        <v>1628</v>
      </c>
      <c r="H79" s="682"/>
      <c r="I79" s="682"/>
      <c r="J79" s="682"/>
      <c r="K79" s="692" t="s">
        <v>1917</v>
      </c>
      <c r="L79" s="699"/>
      <c r="S79" s="780"/>
    </row>
    <row r="80" spans="2:19" s="467" customFormat="1" ht="15" hidden="1" customHeight="1" outlineLevel="1" x14ac:dyDescent="0.35">
      <c r="B80" s="759" t="s">
        <v>1758</v>
      </c>
      <c r="C80" s="677" t="s">
        <v>1757</v>
      </c>
      <c r="D80" s="669" t="s">
        <v>745</v>
      </c>
      <c r="E80" s="669"/>
      <c r="F80" s="669"/>
      <c r="G80" s="682" t="s">
        <v>1628</v>
      </c>
      <c r="H80" s="682"/>
      <c r="I80" s="682"/>
      <c r="J80" s="682"/>
      <c r="K80" s="692" t="s">
        <v>1917</v>
      </c>
      <c r="L80" s="699"/>
      <c r="S80" s="780"/>
    </row>
    <row r="81" spans="2:19" s="467" customFormat="1" ht="15" hidden="1" customHeight="1" outlineLevel="1" x14ac:dyDescent="0.35">
      <c r="B81" s="759" t="s">
        <v>2006</v>
      </c>
      <c r="C81" s="677" t="s">
        <v>2003</v>
      </c>
      <c r="D81" s="669" t="s">
        <v>1528</v>
      </c>
      <c r="E81" s="669"/>
      <c r="F81" s="669"/>
      <c r="G81" s="682" t="s">
        <v>1628</v>
      </c>
      <c r="H81" s="682"/>
      <c r="I81" s="682"/>
      <c r="J81" s="682"/>
      <c r="K81" s="692" t="s">
        <v>1917</v>
      </c>
      <c r="L81" s="699"/>
      <c r="S81" s="780"/>
    </row>
    <row r="82" spans="2:19" s="467" customFormat="1" ht="15" hidden="1" customHeight="1" outlineLevel="1" x14ac:dyDescent="0.35">
      <c r="B82" s="759" t="s">
        <v>2005</v>
      </c>
      <c r="C82" s="677" t="s">
        <v>2004</v>
      </c>
      <c r="D82" s="669" t="s">
        <v>1528</v>
      </c>
      <c r="E82" s="669"/>
      <c r="F82" s="669"/>
      <c r="G82" s="682" t="s">
        <v>1628</v>
      </c>
      <c r="H82" s="682"/>
      <c r="I82" s="682"/>
      <c r="J82" s="682"/>
      <c r="K82" s="692" t="s">
        <v>1917</v>
      </c>
      <c r="L82" s="699"/>
      <c r="S82" s="780"/>
    </row>
    <row r="83" spans="2:19" s="467" customFormat="1" ht="15" hidden="1" customHeight="1" outlineLevel="1" x14ac:dyDescent="0.35">
      <c r="B83" s="759" t="s">
        <v>1654</v>
      </c>
      <c r="C83" s="677" t="s">
        <v>1584</v>
      </c>
      <c r="D83" s="663" t="s">
        <v>76</v>
      </c>
      <c r="E83" s="663"/>
      <c r="F83" s="663"/>
      <c r="G83" s="684" t="s">
        <v>1628</v>
      </c>
      <c r="H83" s="684"/>
      <c r="I83" s="684"/>
      <c r="J83" s="684"/>
      <c r="K83" s="692" t="s">
        <v>1917</v>
      </c>
      <c r="L83" s="708"/>
      <c r="S83" s="780"/>
    </row>
    <row r="84" spans="2:19" s="467" customFormat="1" ht="15" hidden="1" customHeight="1" outlineLevel="1" x14ac:dyDescent="0.35">
      <c r="B84" s="759" t="s">
        <v>1655</v>
      </c>
      <c r="C84" s="677" t="s">
        <v>1588</v>
      </c>
      <c r="D84" s="663" t="s">
        <v>76</v>
      </c>
      <c r="E84" s="663"/>
      <c r="F84" s="663"/>
      <c r="G84" s="684" t="s">
        <v>1628</v>
      </c>
      <c r="H84" s="684"/>
      <c r="I84" s="684"/>
      <c r="J84" s="684"/>
      <c r="K84" s="692" t="s">
        <v>1917</v>
      </c>
      <c r="L84" s="708"/>
      <c r="S84" s="780"/>
    </row>
    <row r="85" spans="2:19" s="467" customFormat="1" ht="6" hidden="1" customHeight="1" outlineLevel="1" x14ac:dyDescent="0.35">
      <c r="B85" s="759"/>
      <c r="C85" s="677"/>
      <c r="D85" s="664"/>
      <c r="E85" s="664"/>
      <c r="F85" s="664"/>
      <c r="G85" s="677"/>
      <c r="H85" s="677"/>
      <c r="I85" s="677"/>
      <c r="J85" s="677"/>
      <c r="K85" s="692" t="s">
        <v>1917</v>
      </c>
      <c r="L85" s="693"/>
      <c r="S85" s="780"/>
    </row>
    <row r="86" spans="2:19" collapsed="1" x14ac:dyDescent="0.35">
      <c r="B86" s="672"/>
      <c r="C86" s="754" t="s">
        <v>1599</v>
      </c>
      <c r="D86" s="673"/>
      <c r="E86" s="673"/>
      <c r="F86" s="673"/>
      <c r="G86" s="673"/>
      <c r="H86" s="673"/>
      <c r="I86" s="673"/>
      <c r="J86" s="673"/>
      <c r="K86" s="674"/>
      <c r="L86" s="675"/>
    </row>
    <row r="87" spans="2:19" s="467" customFormat="1" ht="15" hidden="1" customHeight="1" outlineLevel="1" x14ac:dyDescent="0.35">
      <c r="B87" s="759" t="s">
        <v>1647</v>
      </c>
      <c r="C87" s="677" t="s">
        <v>1597</v>
      </c>
      <c r="D87" s="669" t="s">
        <v>2161</v>
      </c>
      <c r="E87" s="669"/>
      <c r="F87" s="669"/>
      <c r="G87" s="682" t="s">
        <v>1627</v>
      </c>
      <c r="H87" s="682"/>
      <c r="I87" s="682"/>
      <c r="J87" s="682"/>
      <c r="K87" s="692" t="s">
        <v>1917</v>
      </c>
      <c r="L87" s="699"/>
      <c r="N87" s="1"/>
      <c r="O87" s="1"/>
      <c r="P87" s="1"/>
      <c r="Q87" s="1"/>
      <c r="R87" s="1"/>
      <c r="S87" s="780"/>
    </row>
    <row r="88" spans="2:19" s="467" customFormat="1" ht="15" hidden="1" customHeight="1" outlineLevel="1" x14ac:dyDescent="0.35">
      <c r="B88" s="759" t="s">
        <v>1646</v>
      </c>
      <c r="C88" s="677" t="s">
        <v>1596</v>
      </c>
      <c r="D88" s="669" t="s">
        <v>2162</v>
      </c>
      <c r="E88" s="669"/>
      <c r="F88" s="669"/>
      <c r="G88" s="682" t="s">
        <v>2</v>
      </c>
      <c r="H88" s="682"/>
      <c r="I88" s="682"/>
      <c r="J88" s="682"/>
      <c r="K88" s="692" t="s">
        <v>1917</v>
      </c>
      <c r="L88" s="699"/>
      <c r="N88" s="1"/>
      <c r="O88" s="1"/>
      <c r="P88" s="1"/>
      <c r="Q88" s="1"/>
      <c r="R88" s="1"/>
      <c r="S88" s="780"/>
    </row>
    <row r="89" spans="2:19" s="467" customFormat="1" ht="6" hidden="1" customHeight="1" outlineLevel="1" x14ac:dyDescent="0.35">
      <c r="B89" s="759"/>
      <c r="C89" s="677"/>
      <c r="D89" s="664"/>
      <c r="E89" s="664"/>
      <c r="F89" s="664"/>
      <c r="G89" s="677"/>
      <c r="H89" s="677"/>
      <c r="I89" s="677"/>
      <c r="J89" s="677"/>
      <c r="K89" s="692" t="s">
        <v>1917</v>
      </c>
      <c r="L89" s="693"/>
      <c r="N89" s="1"/>
      <c r="O89" s="1"/>
      <c r="P89" s="1"/>
      <c r="Q89" s="1"/>
      <c r="R89" s="1"/>
      <c r="S89" s="780"/>
    </row>
    <row r="90" spans="2:19" collapsed="1" x14ac:dyDescent="0.35">
      <c r="B90" s="672"/>
      <c r="C90" s="754" t="s">
        <v>1598</v>
      </c>
      <c r="D90" s="673"/>
      <c r="E90" s="673"/>
      <c r="F90" s="673"/>
      <c r="G90" s="673"/>
      <c r="H90" s="673"/>
      <c r="I90" s="673"/>
      <c r="J90" s="673"/>
      <c r="K90" s="674"/>
      <c r="L90" s="675"/>
    </row>
    <row r="91" spans="2:19" s="467" customFormat="1" ht="15" hidden="1" customHeight="1" outlineLevel="1" x14ac:dyDescent="0.35">
      <c r="B91" s="759" t="s">
        <v>1648</v>
      </c>
      <c r="C91" s="677" t="s">
        <v>1892</v>
      </c>
      <c r="D91" s="669" t="s">
        <v>1941</v>
      </c>
      <c r="E91" s="669"/>
      <c r="F91" s="669"/>
      <c r="G91" s="682" t="s">
        <v>1627</v>
      </c>
      <c r="H91" s="682"/>
      <c r="I91" s="682"/>
      <c r="J91" s="682"/>
      <c r="K91" s="692" t="s">
        <v>1917</v>
      </c>
      <c r="L91" s="699"/>
      <c r="N91" s="1"/>
      <c r="O91" s="1"/>
      <c r="P91" s="1"/>
      <c r="Q91" s="1"/>
      <c r="R91" s="1"/>
      <c r="S91" s="780"/>
    </row>
    <row r="92" spans="2:19" s="467" customFormat="1" ht="15" hidden="1" customHeight="1" outlineLevel="1" x14ac:dyDescent="0.35">
      <c r="B92" s="759" t="s">
        <v>1650</v>
      </c>
      <c r="C92" s="677" t="s">
        <v>1600</v>
      </c>
      <c r="D92" s="669" t="s">
        <v>745</v>
      </c>
      <c r="E92" s="669"/>
      <c r="F92" s="669"/>
      <c r="G92" s="682" t="s">
        <v>1628</v>
      </c>
      <c r="H92" s="682"/>
      <c r="I92" s="682"/>
      <c r="J92" s="682"/>
      <c r="K92" s="692" t="s">
        <v>1917</v>
      </c>
      <c r="L92" s="699"/>
      <c r="N92" s="1"/>
      <c r="O92" s="1"/>
      <c r="P92" s="1"/>
      <c r="Q92" s="1"/>
      <c r="R92" s="1"/>
      <c r="S92" s="780"/>
    </row>
    <row r="93" spans="2:19" s="467" customFormat="1" ht="15" hidden="1" customHeight="1" outlineLevel="1" x14ac:dyDescent="0.35">
      <c r="B93" s="759" t="s">
        <v>1649</v>
      </c>
      <c r="C93" s="677" t="s">
        <v>1601</v>
      </c>
      <c r="D93" s="669" t="s">
        <v>745</v>
      </c>
      <c r="E93" s="669"/>
      <c r="F93" s="669"/>
      <c r="G93" s="682" t="s">
        <v>1628</v>
      </c>
      <c r="H93" s="682"/>
      <c r="I93" s="682"/>
      <c r="J93" s="682"/>
      <c r="K93" s="692" t="s">
        <v>1917</v>
      </c>
      <c r="L93" s="699"/>
      <c r="N93" s="1"/>
      <c r="O93" s="1"/>
      <c r="P93" s="1"/>
      <c r="Q93" s="1"/>
      <c r="R93" s="1"/>
      <c r="S93" s="780"/>
    </row>
    <row r="94" spans="2:19" s="467" customFormat="1" ht="15" hidden="1" customHeight="1" outlineLevel="1" x14ac:dyDescent="0.35">
      <c r="B94" s="759" t="s">
        <v>1651</v>
      </c>
      <c r="C94" s="677" t="s">
        <v>1602</v>
      </c>
      <c r="D94" s="669" t="s">
        <v>745</v>
      </c>
      <c r="E94" s="669"/>
      <c r="F94" s="669"/>
      <c r="G94" s="682" t="s">
        <v>1628</v>
      </c>
      <c r="H94" s="682"/>
      <c r="I94" s="682"/>
      <c r="J94" s="682"/>
      <c r="K94" s="692" t="s">
        <v>1917</v>
      </c>
      <c r="L94" s="699"/>
      <c r="S94" s="780"/>
    </row>
    <row r="95" spans="2:19" s="467" customFormat="1" ht="14.5" customHeight="1" collapsed="1" thickBot="1" x14ac:dyDescent="0.4">
      <c r="B95" s="763"/>
      <c r="C95" s="688"/>
      <c r="D95" s="670"/>
      <c r="E95" s="670"/>
      <c r="F95" s="670"/>
      <c r="G95" s="688"/>
      <c r="H95" s="688"/>
      <c r="I95" s="688"/>
      <c r="J95" s="688"/>
      <c r="K95" s="709"/>
      <c r="L95" s="710"/>
      <c r="S95" s="780"/>
    </row>
    <row r="96" spans="2:19" s="467" customFormat="1" ht="15" customHeight="1" thickBot="1" x14ac:dyDescent="0.4">
      <c r="K96" s="468"/>
      <c r="S96" s="780"/>
    </row>
    <row r="97" spans="2:19" ht="23" thickBot="1" x14ac:dyDescent="0.4">
      <c r="B97" s="524"/>
      <c r="C97" s="525" t="s">
        <v>2156</v>
      </c>
      <c r="D97" s="525"/>
      <c r="E97" s="525"/>
      <c r="F97" s="525"/>
      <c r="G97" s="525"/>
      <c r="H97" s="525"/>
      <c r="I97" s="525"/>
      <c r="J97" s="525"/>
      <c r="K97" s="527"/>
      <c r="L97" s="526"/>
    </row>
    <row r="98" spans="2:19" s="467" customFormat="1" ht="6" hidden="1" customHeight="1" outlineLevel="1" thickTop="1" x14ac:dyDescent="0.35">
      <c r="B98" s="764"/>
      <c r="C98" s="755"/>
      <c r="D98" s="716"/>
      <c r="E98" s="716"/>
      <c r="F98" s="716"/>
      <c r="G98" s="716"/>
      <c r="H98" s="716"/>
      <c r="I98" s="716"/>
      <c r="J98" s="716"/>
      <c r="K98" s="531"/>
      <c r="L98" s="717"/>
      <c r="S98" s="780"/>
    </row>
    <row r="99" spans="2:19" s="392" customFormat="1" hidden="1" outlineLevel="1" x14ac:dyDescent="0.35">
      <c r="B99" s="672"/>
      <c r="C99" s="754" t="s">
        <v>1807</v>
      </c>
      <c r="D99" s="673"/>
      <c r="E99" s="673"/>
      <c r="F99" s="673"/>
      <c r="G99" s="673"/>
      <c r="H99" s="673"/>
      <c r="I99" s="673"/>
      <c r="J99" s="673"/>
      <c r="K99" s="674"/>
      <c r="L99" s="675"/>
      <c r="S99" s="781"/>
    </row>
    <row r="100" spans="2:19" s="467" customFormat="1" ht="15" hidden="1" customHeight="1" outlineLevel="1" x14ac:dyDescent="0.35">
      <c r="B100" s="759" t="s">
        <v>1662</v>
      </c>
      <c r="C100" s="677" t="s">
        <v>2153</v>
      </c>
      <c r="D100" s="665" t="s">
        <v>2291</v>
      </c>
      <c r="E100" s="678"/>
      <c r="F100" s="685"/>
      <c r="G100" s="685"/>
      <c r="H100" s="685"/>
      <c r="I100" s="685"/>
      <c r="J100" s="685"/>
      <c r="K100" s="692" t="s">
        <v>1917</v>
      </c>
      <c r="L100" s="695"/>
      <c r="S100" s="780"/>
    </row>
    <row r="101" spans="2:19" s="718" customFormat="1" ht="24" hidden="1" customHeight="1" outlineLevel="1" x14ac:dyDescent="0.35">
      <c r="B101" s="712"/>
      <c r="C101" s="756" t="s">
        <v>1883</v>
      </c>
      <c r="D101" s="713" t="s">
        <v>1796</v>
      </c>
      <c r="E101" s="713" t="s">
        <v>1929</v>
      </c>
      <c r="F101" s="661"/>
      <c r="G101" s="661"/>
      <c r="H101" s="661"/>
      <c r="I101" s="661"/>
      <c r="J101" s="661"/>
      <c r="K101" s="715"/>
      <c r="L101" s="714"/>
      <c r="S101" s="782"/>
    </row>
    <row r="102" spans="2:19" s="467" customFormat="1" ht="15" hidden="1" customHeight="1" outlineLevel="1" x14ac:dyDescent="0.35">
      <c r="B102" s="759" t="s">
        <v>1656</v>
      </c>
      <c r="C102" s="677" t="s">
        <v>1843</v>
      </c>
      <c r="D102" s="665">
        <v>1</v>
      </c>
      <c r="E102" s="665" t="s">
        <v>1930</v>
      </c>
      <c r="F102" s="685"/>
      <c r="G102" s="685"/>
      <c r="H102" s="685"/>
      <c r="I102" s="685"/>
      <c r="J102" s="685"/>
      <c r="K102" s="692" t="s">
        <v>1917</v>
      </c>
      <c r="L102" s="695"/>
      <c r="S102" s="780"/>
    </row>
    <row r="103" spans="2:19" s="467" customFormat="1" ht="15" hidden="1" customHeight="1" outlineLevel="1" x14ac:dyDescent="0.35">
      <c r="B103" s="759" t="s">
        <v>1657</v>
      </c>
      <c r="C103" s="677" t="s">
        <v>1842</v>
      </c>
      <c r="D103" s="665">
        <v>1</v>
      </c>
      <c r="E103" s="665" t="s">
        <v>1931</v>
      </c>
      <c r="F103" s="685"/>
      <c r="G103" s="685"/>
      <c r="H103" s="685"/>
      <c r="I103" s="685"/>
      <c r="J103" s="685"/>
      <c r="K103" s="692" t="s">
        <v>1917</v>
      </c>
      <c r="L103" s="695"/>
      <c r="S103" s="780"/>
    </row>
    <row r="104" spans="2:19" s="467" customFormat="1" ht="15" hidden="1" customHeight="1" outlineLevel="1" x14ac:dyDescent="0.35">
      <c r="B104" s="759" t="s">
        <v>1658</v>
      </c>
      <c r="C104" s="677" t="s">
        <v>1841</v>
      </c>
      <c r="D104" s="665">
        <v>1</v>
      </c>
      <c r="E104" s="665" t="s">
        <v>1932</v>
      </c>
      <c r="F104" s="685"/>
      <c r="G104" s="685"/>
      <c r="H104" s="685"/>
      <c r="I104" s="685"/>
      <c r="J104" s="685"/>
      <c r="K104" s="692" t="s">
        <v>1917</v>
      </c>
      <c r="L104" s="695"/>
      <c r="S104" s="780"/>
    </row>
    <row r="105" spans="2:19" s="467" customFormat="1" ht="15" hidden="1" customHeight="1" outlineLevel="1" x14ac:dyDescent="0.35">
      <c r="B105" s="759" t="s">
        <v>1659</v>
      </c>
      <c r="C105" s="677" t="s">
        <v>1840</v>
      </c>
      <c r="D105" s="665">
        <v>1</v>
      </c>
      <c r="E105" s="665" t="s">
        <v>1933</v>
      </c>
      <c r="F105" s="685"/>
      <c r="G105" s="685"/>
      <c r="H105" s="685"/>
      <c r="I105" s="685"/>
      <c r="J105" s="685"/>
      <c r="K105" s="692" t="s">
        <v>1917</v>
      </c>
      <c r="L105" s="695"/>
      <c r="S105" s="780"/>
    </row>
    <row r="106" spans="2:19" s="467" customFormat="1" ht="15" hidden="1" customHeight="1" outlineLevel="1" x14ac:dyDescent="0.35">
      <c r="B106" s="759" t="s">
        <v>1660</v>
      </c>
      <c r="C106" s="677" t="s">
        <v>1839</v>
      </c>
      <c r="D106" s="665">
        <v>1</v>
      </c>
      <c r="E106" s="665" t="s">
        <v>1934</v>
      </c>
      <c r="F106" s="685"/>
      <c r="G106" s="685"/>
      <c r="H106" s="685"/>
      <c r="I106" s="685"/>
      <c r="J106" s="685"/>
      <c r="K106" s="692" t="s">
        <v>1917</v>
      </c>
      <c r="L106" s="695"/>
      <c r="S106" s="780"/>
    </row>
    <row r="107" spans="2:19" s="467" customFormat="1" ht="15" hidden="1" customHeight="1" outlineLevel="1" x14ac:dyDescent="0.35">
      <c r="B107" s="759" t="s">
        <v>1661</v>
      </c>
      <c r="C107" s="677" t="s">
        <v>1838</v>
      </c>
      <c r="D107" s="665">
        <v>1</v>
      </c>
      <c r="E107" s="665" t="s">
        <v>1935</v>
      </c>
      <c r="F107" s="685"/>
      <c r="G107" s="685"/>
      <c r="H107" s="685"/>
      <c r="I107" s="685"/>
      <c r="J107" s="685"/>
      <c r="K107" s="692" t="s">
        <v>1917</v>
      </c>
      <c r="L107" s="695"/>
      <c r="S107" s="780"/>
    </row>
    <row r="108" spans="2:19" s="467" customFormat="1" ht="15" hidden="1" customHeight="1" outlineLevel="1" x14ac:dyDescent="0.35">
      <c r="B108" s="759" t="s">
        <v>2195</v>
      </c>
      <c r="C108" s="677" t="s">
        <v>2193</v>
      </c>
      <c r="D108" s="665">
        <v>1</v>
      </c>
      <c r="E108" s="665" t="s">
        <v>2194</v>
      </c>
      <c r="F108" s="685"/>
      <c r="G108" s="685"/>
      <c r="H108" s="685"/>
      <c r="I108" s="685"/>
      <c r="J108" s="685"/>
      <c r="K108" s="692" t="s">
        <v>1917</v>
      </c>
      <c r="L108" s="695"/>
      <c r="S108" s="780"/>
    </row>
    <row r="109" spans="2:19" s="467" customFormat="1" ht="15" hidden="1" customHeight="1" outlineLevel="1" x14ac:dyDescent="0.35">
      <c r="B109" s="759" t="s">
        <v>1832</v>
      </c>
      <c r="C109" s="677" t="s">
        <v>1835</v>
      </c>
      <c r="D109" s="665">
        <v>1</v>
      </c>
      <c r="E109" s="665" t="s">
        <v>1936</v>
      </c>
      <c r="F109" s="685"/>
      <c r="G109" s="685"/>
      <c r="H109" s="685"/>
      <c r="I109" s="685"/>
      <c r="J109" s="685"/>
      <c r="K109" s="692" t="s">
        <v>1917</v>
      </c>
      <c r="L109" s="695"/>
      <c r="S109" s="780"/>
    </row>
    <row r="110" spans="2:19" s="467" customFormat="1" ht="15" hidden="1" customHeight="1" outlineLevel="1" x14ac:dyDescent="0.35">
      <c r="B110" s="759" t="s">
        <v>1844</v>
      </c>
      <c r="C110" s="677" t="s">
        <v>1845</v>
      </c>
      <c r="D110" s="665">
        <v>1</v>
      </c>
      <c r="E110" s="665" t="s">
        <v>1937</v>
      </c>
      <c r="F110" s="685"/>
      <c r="G110" s="685"/>
      <c r="H110" s="685"/>
      <c r="I110" s="685"/>
      <c r="J110" s="685"/>
      <c r="K110" s="692" t="s">
        <v>1917</v>
      </c>
      <c r="L110" s="695"/>
      <c r="S110" s="780"/>
    </row>
    <row r="111" spans="2:19" s="467" customFormat="1" ht="15" hidden="1" customHeight="1" outlineLevel="1" x14ac:dyDescent="0.35">
      <c r="B111" s="759" t="s">
        <v>1797</v>
      </c>
      <c r="C111" s="677" t="s">
        <v>1836</v>
      </c>
      <c r="D111" s="665">
        <v>1</v>
      </c>
      <c r="E111" s="665" t="s">
        <v>1938</v>
      </c>
      <c r="F111" s="685"/>
      <c r="G111" s="685"/>
      <c r="H111" s="685"/>
      <c r="I111" s="685"/>
      <c r="J111" s="685"/>
      <c r="K111" s="692" t="s">
        <v>1917</v>
      </c>
      <c r="L111" s="695"/>
      <c r="S111" s="780"/>
    </row>
    <row r="112" spans="2:19" s="467" customFormat="1" ht="15" hidden="1" customHeight="1" outlineLevel="1" x14ac:dyDescent="0.35">
      <c r="B112" s="759" t="s">
        <v>1798</v>
      </c>
      <c r="C112" s="677" t="s">
        <v>1837</v>
      </c>
      <c r="D112" s="665">
        <v>2</v>
      </c>
      <c r="E112" s="665" t="s">
        <v>2008</v>
      </c>
      <c r="F112" s="685"/>
      <c r="G112" s="685"/>
      <c r="H112" s="685"/>
      <c r="I112" s="685"/>
      <c r="J112" s="685"/>
      <c r="K112" s="692" t="s">
        <v>1917</v>
      </c>
      <c r="L112" s="695"/>
      <c r="S112" s="780"/>
    </row>
    <row r="113" spans="2:19" s="467" customFormat="1" ht="15" hidden="1" customHeight="1" outlineLevel="1" x14ac:dyDescent="0.35">
      <c r="B113" s="759" t="s">
        <v>1955</v>
      </c>
      <c r="C113" s="677" t="s">
        <v>1956</v>
      </c>
      <c r="D113" s="665">
        <v>2</v>
      </c>
      <c r="E113" s="665" t="s">
        <v>2007</v>
      </c>
      <c r="F113" s="685"/>
      <c r="G113" s="685"/>
      <c r="H113" s="685"/>
      <c r="I113" s="685"/>
      <c r="J113" s="685"/>
      <c r="K113" s="692" t="s">
        <v>1917</v>
      </c>
      <c r="L113" s="695"/>
      <c r="S113" s="780"/>
    </row>
    <row r="114" spans="2:19" s="467" customFormat="1" ht="15" hidden="1" customHeight="1" outlineLevel="1" x14ac:dyDescent="0.35">
      <c r="B114" s="759"/>
      <c r="C114" s="677"/>
      <c r="D114" s="678"/>
      <c r="E114" s="678"/>
      <c r="F114" s="685"/>
      <c r="G114" s="685"/>
      <c r="H114" s="685"/>
      <c r="I114" s="685"/>
      <c r="J114" s="685"/>
      <c r="K114" s="692" t="s">
        <v>1917</v>
      </c>
      <c r="L114" s="695"/>
      <c r="S114" s="780"/>
    </row>
    <row r="115" spans="2:19" s="392" customFormat="1" hidden="1" outlineLevel="1" x14ac:dyDescent="0.35">
      <c r="B115" s="672"/>
      <c r="C115" s="754" t="s">
        <v>1849</v>
      </c>
      <c r="D115" s="673"/>
      <c r="E115" s="673"/>
      <c r="F115" s="673"/>
      <c r="G115" s="673"/>
      <c r="H115" s="673"/>
      <c r="I115" s="673"/>
      <c r="J115" s="673"/>
      <c r="K115" s="715"/>
      <c r="L115" s="675"/>
      <c r="S115" s="781"/>
    </row>
    <row r="116" spans="2:19" s="467" customFormat="1" ht="15" hidden="1" customHeight="1" outlineLevel="1" x14ac:dyDescent="0.35">
      <c r="B116" s="759" t="s">
        <v>1808</v>
      </c>
      <c r="C116" s="677" t="s">
        <v>1847</v>
      </c>
      <c r="D116" s="665">
        <v>1</v>
      </c>
      <c r="E116" s="665" t="s">
        <v>1953</v>
      </c>
      <c r="F116" s="685"/>
      <c r="G116" s="685"/>
      <c r="H116" s="685"/>
      <c r="I116" s="685"/>
      <c r="J116" s="685"/>
      <c r="K116" s="692" t="s">
        <v>1917</v>
      </c>
      <c r="L116" s="695"/>
      <c r="S116" s="780"/>
    </row>
    <row r="117" spans="2:19" s="467" customFormat="1" ht="15" hidden="1" customHeight="1" outlineLevel="1" x14ac:dyDescent="0.35">
      <c r="B117" s="759" t="s">
        <v>1809</v>
      </c>
      <c r="C117" s="677" t="s">
        <v>1846</v>
      </c>
      <c r="D117" s="665">
        <v>1</v>
      </c>
      <c r="E117" s="665" t="s">
        <v>1954</v>
      </c>
      <c r="F117" s="685"/>
      <c r="G117" s="685"/>
      <c r="H117" s="685"/>
      <c r="I117" s="685"/>
      <c r="J117" s="685"/>
      <c r="K117" s="692" t="s">
        <v>1917</v>
      </c>
      <c r="L117" s="695"/>
      <c r="S117" s="780"/>
    </row>
    <row r="118" spans="2:19" s="467" customFormat="1" ht="15" hidden="1" customHeight="1" outlineLevel="1" x14ac:dyDescent="0.35">
      <c r="B118" s="759"/>
      <c r="C118" s="677"/>
      <c r="D118" s="678"/>
      <c r="E118" s="678"/>
      <c r="F118" s="685"/>
      <c r="G118" s="685"/>
      <c r="H118" s="685"/>
      <c r="I118" s="685"/>
      <c r="J118" s="685"/>
      <c r="K118" s="692" t="s">
        <v>1917</v>
      </c>
      <c r="L118" s="695"/>
      <c r="S118" s="780"/>
    </row>
    <row r="119" spans="2:19" s="392" customFormat="1" hidden="1" outlineLevel="1" x14ac:dyDescent="0.35">
      <c r="B119" s="672"/>
      <c r="C119" s="754" t="s">
        <v>1848</v>
      </c>
      <c r="D119" s="673"/>
      <c r="E119" s="673"/>
      <c r="F119" s="673"/>
      <c r="G119" s="673"/>
      <c r="H119" s="673"/>
      <c r="I119" s="673"/>
      <c r="J119" s="673"/>
      <c r="K119" s="715"/>
      <c r="L119" s="675"/>
      <c r="S119" s="781"/>
    </row>
    <row r="120" spans="2:19" s="467" customFormat="1" ht="15" hidden="1" customHeight="1" outlineLevel="1" x14ac:dyDescent="0.35">
      <c r="B120" s="759" t="s">
        <v>1833</v>
      </c>
      <c r="C120" s="677" t="s">
        <v>1834</v>
      </c>
      <c r="D120" s="665">
        <v>1</v>
      </c>
      <c r="E120" s="665" t="s">
        <v>1939</v>
      </c>
      <c r="F120" s="685"/>
      <c r="G120" s="685"/>
      <c r="H120" s="685"/>
      <c r="I120" s="685"/>
      <c r="J120" s="685"/>
      <c r="K120" s="692" t="s">
        <v>1917</v>
      </c>
      <c r="L120" s="695"/>
      <c r="S120" s="780"/>
    </row>
    <row r="121" spans="2:19" s="467" customFormat="1" ht="14.15" hidden="1" customHeight="1" outlineLevel="1" thickBot="1" x14ac:dyDescent="0.4">
      <c r="B121" s="763"/>
      <c r="C121" s="688"/>
      <c r="D121" s="688"/>
      <c r="E121" s="688"/>
      <c r="F121" s="688"/>
      <c r="G121" s="688"/>
      <c r="H121" s="688"/>
      <c r="I121" s="688"/>
      <c r="J121" s="688"/>
      <c r="K121" s="697"/>
      <c r="L121" s="710"/>
      <c r="S121" s="780"/>
    </row>
    <row r="122" spans="2:19" ht="15.5" collapsed="1" thickTop="1" thickBot="1" x14ac:dyDescent="0.4">
      <c r="B122" s="2"/>
    </row>
    <row r="123" spans="2:19" ht="23" thickBot="1" x14ac:dyDescent="0.4">
      <c r="B123" s="524"/>
      <c r="C123" s="525" t="s">
        <v>1768</v>
      </c>
      <c r="D123" s="525"/>
      <c r="E123" s="525"/>
      <c r="F123" s="525"/>
      <c r="G123" s="525"/>
      <c r="H123" s="525"/>
      <c r="I123" s="525"/>
      <c r="J123" s="525"/>
      <c r="K123" s="527"/>
      <c r="L123" s="526"/>
    </row>
    <row r="124" spans="2:19" s="2" customFormat="1" ht="15.5" hidden="1" outlineLevel="1" thickTop="1" thickBot="1" x14ac:dyDescent="0.4">
      <c r="B124" s="721"/>
      <c r="C124" s="719" t="s">
        <v>0</v>
      </c>
      <c r="D124" s="719" t="s">
        <v>1034</v>
      </c>
      <c r="E124" s="719" t="s">
        <v>1788</v>
      </c>
      <c r="F124" s="719" t="s">
        <v>2233</v>
      </c>
      <c r="G124" s="719"/>
      <c r="H124" s="719"/>
      <c r="I124" s="719"/>
      <c r="J124" s="719"/>
      <c r="K124" s="719"/>
      <c r="L124" s="720"/>
      <c r="M124" s="385"/>
      <c r="S124" s="783"/>
    </row>
    <row r="125" spans="2:19" s="467" customFormat="1" ht="15" hidden="1" customHeight="1" outlineLevel="1" thickTop="1" x14ac:dyDescent="0.35">
      <c r="B125" s="759" t="s">
        <v>2158</v>
      </c>
      <c r="C125" s="677" t="s">
        <v>1769</v>
      </c>
      <c r="D125" s="665">
        <v>0</v>
      </c>
      <c r="E125" s="722">
        <v>0</v>
      </c>
      <c r="F125" s="669"/>
      <c r="G125" s="682"/>
      <c r="H125" s="682"/>
      <c r="I125" s="682"/>
      <c r="J125" s="682"/>
      <c r="K125" s="692"/>
      <c r="L125" s="699"/>
      <c r="N125" s="1"/>
      <c r="O125" s="1"/>
      <c r="P125" s="1"/>
      <c r="Q125" s="1"/>
      <c r="R125" s="1"/>
      <c r="S125" s="780"/>
    </row>
    <row r="126" spans="2:19" s="467" customFormat="1" ht="15" hidden="1" customHeight="1" outlineLevel="1" x14ac:dyDescent="0.35">
      <c r="B126" s="759" t="s">
        <v>2158</v>
      </c>
      <c r="C126" s="677" t="s">
        <v>1761</v>
      </c>
      <c r="D126" s="665">
        <v>6</v>
      </c>
      <c r="E126" s="722">
        <v>0</v>
      </c>
      <c r="F126" s="669"/>
      <c r="G126" s="682"/>
      <c r="H126" s="682"/>
      <c r="I126" s="682"/>
      <c r="J126" s="682"/>
      <c r="K126" s="692"/>
      <c r="L126" s="699"/>
      <c r="N126" s="1"/>
      <c r="O126" s="1"/>
      <c r="P126" s="1"/>
      <c r="Q126" s="1"/>
      <c r="R126" s="1"/>
      <c r="S126" s="780"/>
    </row>
    <row r="127" spans="2:19" s="467" customFormat="1" ht="15" hidden="1" customHeight="1" outlineLevel="1" x14ac:dyDescent="0.35">
      <c r="B127" s="759" t="s">
        <v>2158</v>
      </c>
      <c r="C127" s="677" t="s">
        <v>1548</v>
      </c>
      <c r="D127" s="665">
        <v>7</v>
      </c>
      <c r="E127" s="722">
        <v>0</v>
      </c>
      <c r="F127" s="669"/>
      <c r="G127" s="682"/>
      <c r="H127" s="682"/>
      <c r="I127" s="682"/>
      <c r="J127" s="682"/>
      <c r="K127" s="692"/>
      <c r="L127" s="699"/>
      <c r="N127" s="1"/>
      <c r="O127" s="1"/>
      <c r="P127" s="1"/>
      <c r="Q127" s="1"/>
      <c r="R127" s="1"/>
      <c r="S127" s="780"/>
    </row>
    <row r="128" spans="2:19" s="467" customFormat="1" ht="15" hidden="1" customHeight="1" outlineLevel="1" x14ac:dyDescent="0.35">
      <c r="B128" s="759" t="s">
        <v>2158</v>
      </c>
      <c r="C128" s="677" t="s">
        <v>1770</v>
      </c>
      <c r="D128" s="665">
        <v>2</v>
      </c>
      <c r="E128" s="722">
        <v>12</v>
      </c>
      <c r="F128" s="669" t="s">
        <v>2280</v>
      </c>
      <c r="G128" s="682"/>
      <c r="H128" s="682"/>
      <c r="I128" s="682"/>
      <c r="J128" s="682"/>
      <c r="K128" s="692"/>
      <c r="L128" s="699"/>
      <c r="N128" s="1"/>
      <c r="O128" s="1"/>
      <c r="P128" s="1"/>
      <c r="Q128" s="1"/>
      <c r="R128" s="1"/>
      <c r="S128" s="780"/>
    </row>
    <row r="129" spans="1:19" s="467" customFormat="1" ht="15" hidden="1" customHeight="1" outlineLevel="1" x14ac:dyDescent="0.35">
      <c r="B129" s="759" t="s">
        <v>2158</v>
      </c>
      <c r="C129" s="677" t="s">
        <v>1918</v>
      </c>
      <c r="D129" s="665">
        <v>3</v>
      </c>
      <c r="E129" s="722">
        <v>14</v>
      </c>
      <c r="F129" s="669" t="s">
        <v>2280</v>
      </c>
      <c r="G129" s="682"/>
      <c r="H129" s="682"/>
      <c r="I129" s="682"/>
      <c r="J129" s="682"/>
      <c r="K129" s="692"/>
      <c r="L129" s="699"/>
      <c r="N129" s="1"/>
      <c r="O129" s="1"/>
      <c r="P129" s="1"/>
      <c r="Q129" s="1"/>
      <c r="R129" s="1"/>
      <c r="S129" s="780"/>
    </row>
    <row r="130" spans="1:19" s="467" customFormat="1" ht="15" hidden="1" customHeight="1" outlineLevel="1" x14ac:dyDescent="0.35">
      <c r="B130" s="759" t="s">
        <v>2158</v>
      </c>
      <c r="C130" s="700" t="s">
        <v>2206</v>
      </c>
      <c r="D130" s="665">
        <v>4</v>
      </c>
      <c r="E130" s="722">
        <v>15</v>
      </c>
      <c r="F130" s="669" t="s">
        <v>2279</v>
      </c>
      <c r="G130" s="851" t="s">
        <v>2282</v>
      </c>
      <c r="H130" s="682"/>
      <c r="I130" s="682"/>
      <c r="J130" s="682"/>
      <c r="K130" s="692"/>
      <c r="L130" s="699"/>
      <c r="N130" s="1"/>
      <c r="O130" s="1"/>
      <c r="P130" s="1"/>
      <c r="Q130" s="1"/>
      <c r="R130" s="1"/>
      <c r="S130" s="780"/>
    </row>
    <row r="131" spans="1:19" s="467" customFormat="1" ht="15" hidden="1" customHeight="1" outlineLevel="1" x14ac:dyDescent="0.35">
      <c r="B131" s="759" t="s">
        <v>2158</v>
      </c>
      <c r="C131" s="700" t="s">
        <v>2207</v>
      </c>
      <c r="D131" s="665">
        <v>5</v>
      </c>
      <c r="E131" s="722">
        <v>5</v>
      </c>
      <c r="F131" s="669" t="s">
        <v>2284</v>
      </c>
      <c r="G131" s="682" t="s">
        <v>2285</v>
      </c>
      <c r="H131" s="682"/>
      <c r="I131" s="682"/>
      <c r="J131" s="682"/>
      <c r="K131" s="692"/>
      <c r="L131" s="699"/>
      <c r="N131" s="1"/>
      <c r="O131" s="1"/>
      <c r="P131" s="1"/>
      <c r="Q131" s="1"/>
      <c r="R131" s="1"/>
      <c r="S131" s="780"/>
    </row>
    <row r="132" spans="1:19" s="467" customFormat="1" ht="15" hidden="1" customHeight="1" outlineLevel="1" x14ac:dyDescent="0.35">
      <c r="B132" s="759" t="s">
        <v>2158</v>
      </c>
      <c r="C132" s="677" t="s">
        <v>1891</v>
      </c>
      <c r="D132" s="665">
        <v>8</v>
      </c>
      <c r="E132" s="722">
        <v>8</v>
      </c>
      <c r="F132" s="669" t="s">
        <v>2281</v>
      </c>
      <c r="G132" s="851" t="s">
        <v>2283</v>
      </c>
      <c r="H132" s="682"/>
      <c r="I132" s="682"/>
      <c r="J132" s="682"/>
      <c r="K132" s="692"/>
      <c r="L132" s="699"/>
      <c r="N132" s="1"/>
      <c r="O132" s="1"/>
      <c r="P132" s="1"/>
      <c r="Q132" s="1"/>
      <c r="R132" s="1"/>
      <c r="S132" s="780"/>
    </row>
    <row r="133" spans="1:19" s="467" customFormat="1" ht="15" hidden="1" customHeight="1" outlineLevel="1" x14ac:dyDescent="0.35">
      <c r="B133" s="759" t="s">
        <v>2158</v>
      </c>
      <c r="C133" s="682" t="s">
        <v>2208</v>
      </c>
      <c r="D133" s="665">
        <v>10</v>
      </c>
      <c r="E133" s="722">
        <v>13</v>
      </c>
      <c r="F133" s="669" t="s">
        <v>2280</v>
      </c>
      <c r="G133" s="682"/>
      <c r="H133" s="682"/>
      <c r="I133" s="682"/>
      <c r="J133" s="682"/>
      <c r="K133" s="692"/>
      <c r="L133" s="699"/>
      <c r="N133" s="1"/>
      <c r="O133" s="1"/>
      <c r="P133" s="1"/>
      <c r="Q133" s="1"/>
      <c r="R133" s="1"/>
      <c r="S133" s="780"/>
    </row>
    <row r="134" spans="1:19" s="467" customFormat="1" ht="15" hidden="1" customHeight="1" outlineLevel="1" thickBot="1" x14ac:dyDescent="0.4">
      <c r="B134" s="763"/>
      <c r="C134" s="688"/>
      <c r="D134" s="671"/>
      <c r="E134" s="723"/>
      <c r="F134" s="724"/>
      <c r="G134" s="725"/>
      <c r="H134" s="725"/>
      <c r="I134" s="725"/>
      <c r="J134" s="725"/>
      <c r="K134" s="697"/>
      <c r="L134" s="726"/>
      <c r="N134" s="1"/>
      <c r="O134" s="1"/>
      <c r="P134" s="1"/>
      <c r="Q134" s="1"/>
      <c r="R134" s="1"/>
      <c r="S134" s="780"/>
    </row>
    <row r="135" spans="1:19" ht="15.5" collapsed="1" thickTop="1" thickBot="1" x14ac:dyDescent="0.4">
      <c r="B135" s="2"/>
    </row>
    <row r="136" spans="1:19" ht="23" thickBot="1" x14ac:dyDescent="0.4">
      <c r="B136" s="524"/>
      <c r="C136" s="525" t="s">
        <v>1663</v>
      </c>
      <c r="D136" s="525"/>
      <c r="E136" s="525"/>
      <c r="F136" s="525"/>
      <c r="G136" s="525"/>
      <c r="H136" s="525"/>
      <c r="I136" s="525"/>
      <c r="J136" s="525"/>
      <c r="K136" s="527"/>
      <c r="L136" s="526"/>
    </row>
    <row r="137" spans="1:19" s="2" customFormat="1" ht="15.5" hidden="1" outlineLevel="1" thickTop="1" thickBot="1" x14ac:dyDescent="0.4">
      <c r="B137" s="721"/>
      <c r="C137" s="719" t="s">
        <v>0</v>
      </c>
      <c r="D137" s="719"/>
      <c r="E137" s="719"/>
      <c r="F137" s="719"/>
      <c r="G137" s="719"/>
      <c r="H137" s="719"/>
      <c r="I137" s="719"/>
      <c r="J137" s="719"/>
      <c r="K137" s="719"/>
      <c r="L137" s="720"/>
      <c r="M137" s="385"/>
      <c r="S137" s="783"/>
    </row>
    <row r="138" spans="1:19" ht="15" hidden="1" outlineLevel="1" thickTop="1" x14ac:dyDescent="0.35">
      <c r="A138" s="483"/>
      <c r="B138" s="762" t="s">
        <v>2159</v>
      </c>
      <c r="C138" s="757" t="s">
        <v>1245</v>
      </c>
      <c r="D138" s="664"/>
      <c r="E138" s="664"/>
      <c r="F138" s="664"/>
      <c r="G138" s="664"/>
      <c r="H138" s="664"/>
      <c r="I138" s="664"/>
      <c r="J138" s="664"/>
      <c r="K138" s="664"/>
      <c r="L138" s="666"/>
    </row>
    <row r="139" spans="1:19" hidden="1" outlineLevel="1" x14ac:dyDescent="0.35">
      <c r="A139" s="483"/>
      <c r="B139" s="762" t="s">
        <v>2159</v>
      </c>
      <c r="C139" s="664" t="s">
        <v>2200</v>
      </c>
      <c r="D139" s="664"/>
      <c r="E139" s="664"/>
      <c r="F139" s="664"/>
      <c r="G139" s="664"/>
      <c r="H139" s="664"/>
      <c r="I139" s="664"/>
      <c r="J139" s="664"/>
      <c r="K139" s="664"/>
      <c r="L139" s="666"/>
    </row>
    <row r="140" spans="1:19" hidden="1" outlineLevel="1" x14ac:dyDescent="0.35">
      <c r="A140" s="483"/>
      <c r="B140" s="762" t="s">
        <v>2159</v>
      </c>
      <c r="C140" s="664" t="s">
        <v>1488</v>
      </c>
      <c r="D140" s="664"/>
      <c r="E140" s="664"/>
      <c r="F140" s="664"/>
      <c r="G140" s="664"/>
      <c r="H140" s="664"/>
      <c r="I140" s="664"/>
      <c r="J140" s="664"/>
      <c r="K140" s="664"/>
      <c r="L140" s="666"/>
    </row>
    <row r="141" spans="1:19" hidden="1" outlineLevel="1" x14ac:dyDescent="0.35">
      <c r="A141" s="483"/>
      <c r="B141" s="762" t="s">
        <v>2159</v>
      </c>
      <c r="C141" s="664" t="s">
        <v>1246</v>
      </c>
      <c r="D141" s="664"/>
      <c r="E141" s="664"/>
      <c r="F141" s="664"/>
      <c r="G141" s="664"/>
      <c r="H141" s="664"/>
      <c r="I141" s="664"/>
      <c r="J141" s="664"/>
      <c r="K141" s="664"/>
      <c r="L141" s="666"/>
    </row>
    <row r="142" spans="1:19" hidden="1" outlineLevel="1" x14ac:dyDescent="0.35">
      <c r="A142" s="483"/>
      <c r="B142" s="762" t="s">
        <v>2159</v>
      </c>
      <c r="C142" s="664" t="s">
        <v>1247</v>
      </c>
      <c r="D142" s="664"/>
      <c r="E142" s="664"/>
      <c r="F142" s="664"/>
      <c r="G142" s="664"/>
      <c r="H142" s="664"/>
      <c r="I142" s="664"/>
      <c r="J142" s="664"/>
      <c r="K142" s="664"/>
      <c r="L142" s="666"/>
    </row>
    <row r="143" spans="1:19" hidden="1" outlineLevel="1" x14ac:dyDescent="0.35">
      <c r="A143" s="483"/>
      <c r="B143" s="762" t="s">
        <v>2159</v>
      </c>
      <c r="C143" s="664" t="s">
        <v>1249</v>
      </c>
      <c r="D143" s="664"/>
      <c r="E143" s="664"/>
      <c r="F143" s="664"/>
      <c r="G143" s="664"/>
      <c r="H143" s="664"/>
      <c r="I143" s="664"/>
      <c r="J143" s="664"/>
      <c r="K143" s="664"/>
      <c r="L143" s="666"/>
    </row>
    <row r="144" spans="1:19" hidden="1" outlineLevel="1" x14ac:dyDescent="0.35">
      <c r="A144" s="483"/>
      <c r="B144" s="762" t="s">
        <v>2159</v>
      </c>
      <c r="C144" s="664" t="s">
        <v>1250</v>
      </c>
      <c r="D144" s="664"/>
      <c r="E144" s="664"/>
      <c r="F144" s="664"/>
      <c r="G144" s="664"/>
      <c r="H144" s="664"/>
      <c r="I144" s="664"/>
      <c r="J144" s="664"/>
      <c r="K144" s="664"/>
      <c r="L144" s="666"/>
    </row>
    <row r="145" spans="1:19" hidden="1" outlineLevel="1" x14ac:dyDescent="0.35">
      <c r="A145" s="483"/>
      <c r="B145" s="762" t="s">
        <v>2159</v>
      </c>
      <c r="C145" s="664" t="s">
        <v>1251</v>
      </c>
      <c r="D145" s="664"/>
      <c r="E145" s="664"/>
      <c r="F145" s="664"/>
      <c r="G145" s="664"/>
      <c r="H145" s="664"/>
      <c r="I145" s="664"/>
      <c r="J145" s="664"/>
      <c r="K145" s="664"/>
      <c r="L145" s="666"/>
    </row>
    <row r="146" spans="1:19" hidden="1" outlineLevel="1" x14ac:dyDescent="0.35">
      <c r="A146" s="483"/>
      <c r="B146" s="762" t="s">
        <v>2159</v>
      </c>
      <c r="C146" s="664" t="s">
        <v>1252</v>
      </c>
      <c r="D146" s="664"/>
      <c r="E146" s="664"/>
      <c r="F146" s="664"/>
      <c r="G146" s="664"/>
      <c r="H146" s="664"/>
      <c r="I146" s="664"/>
      <c r="J146" s="664"/>
      <c r="K146" s="664"/>
      <c r="L146" s="666"/>
    </row>
    <row r="147" spans="1:19" hidden="1" outlineLevel="1" x14ac:dyDescent="0.35">
      <c r="A147" s="483"/>
      <c r="B147" s="762" t="s">
        <v>2159</v>
      </c>
      <c r="C147" s="664" t="s">
        <v>1253</v>
      </c>
      <c r="D147" s="664"/>
      <c r="E147" s="664"/>
      <c r="F147" s="664"/>
      <c r="G147" s="664"/>
      <c r="H147" s="664"/>
      <c r="I147" s="664"/>
      <c r="J147" s="664"/>
      <c r="K147" s="664"/>
      <c r="L147" s="666"/>
    </row>
    <row r="148" spans="1:19" hidden="1" outlineLevel="1" x14ac:dyDescent="0.35">
      <c r="A148" s="483"/>
      <c r="B148" s="762" t="s">
        <v>2159</v>
      </c>
      <c r="C148" s="664" t="s">
        <v>1254</v>
      </c>
      <c r="D148" s="664"/>
      <c r="E148" s="664"/>
      <c r="F148" s="664"/>
      <c r="G148" s="664"/>
      <c r="H148" s="664"/>
      <c r="I148" s="664"/>
      <c r="J148" s="664"/>
      <c r="K148" s="664"/>
      <c r="L148" s="666"/>
    </row>
    <row r="149" spans="1:19" hidden="1" outlineLevel="1" x14ac:dyDescent="0.35">
      <c r="A149" s="483"/>
      <c r="B149" s="762" t="s">
        <v>2159</v>
      </c>
      <c r="C149" s="664" t="s">
        <v>1256</v>
      </c>
      <c r="D149" s="664"/>
      <c r="E149" s="664"/>
      <c r="F149" s="664"/>
      <c r="G149" s="664"/>
      <c r="H149" s="664"/>
      <c r="I149" s="664"/>
      <c r="J149" s="664"/>
      <c r="K149" s="664"/>
      <c r="L149" s="666"/>
    </row>
    <row r="150" spans="1:19" hidden="1" outlineLevel="1" x14ac:dyDescent="0.35">
      <c r="A150" s="483"/>
      <c r="B150" s="762" t="s">
        <v>2159</v>
      </c>
      <c r="C150" s="664" t="s">
        <v>1257</v>
      </c>
      <c r="D150" s="664"/>
      <c r="E150" s="664"/>
      <c r="F150" s="664"/>
      <c r="G150" s="664"/>
      <c r="H150" s="664"/>
      <c r="I150" s="664"/>
      <c r="J150" s="664"/>
      <c r="K150" s="664"/>
      <c r="L150" s="666"/>
    </row>
    <row r="151" spans="1:19" ht="15" hidden="1" outlineLevel="1" thickBot="1" x14ac:dyDescent="0.4">
      <c r="A151" s="483"/>
      <c r="B151" s="761"/>
      <c r="C151" s="670"/>
      <c r="D151" s="670"/>
      <c r="E151" s="670"/>
      <c r="F151" s="670"/>
      <c r="G151" s="670"/>
      <c r="H151" s="670"/>
      <c r="I151" s="670"/>
      <c r="J151" s="670"/>
      <c r="K151" s="670"/>
      <c r="L151" s="711"/>
    </row>
    <row r="152" spans="1:19" ht="15.5" collapsed="1" thickTop="1" thickBot="1" x14ac:dyDescent="0.4">
      <c r="B152" s="2"/>
      <c r="K152" s="1"/>
    </row>
    <row r="153" spans="1:19" ht="23" thickBot="1" x14ac:dyDescent="0.4">
      <c r="B153" s="524"/>
      <c r="C153" s="525" t="s">
        <v>11</v>
      </c>
      <c r="D153" s="525"/>
      <c r="E153" s="525"/>
      <c r="F153" s="525"/>
      <c r="G153" s="525"/>
      <c r="H153" s="525"/>
      <c r="I153" s="525"/>
      <c r="J153" s="525"/>
      <c r="K153" s="527"/>
      <c r="L153" s="526"/>
    </row>
    <row r="154" spans="1:19" s="2" customFormat="1" ht="15.5" hidden="1" outlineLevel="1" thickTop="1" thickBot="1" x14ac:dyDescent="0.4">
      <c r="B154" s="721"/>
      <c r="C154" s="719" t="s">
        <v>0</v>
      </c>
      <c r="D154" s="719"/>
      <c r="E154" s="719"/>
      <c r="F154" s="719"/>
      <c r="G154" s="719"/>
      <c r="H154" s="719"/>
      <c r="I154" s="719"/>
      <c r="J154" s="719"/>
      <c r="K154" s="719"/>
      <c r="L154" s="720"/>
      <c r="M154" s="385"/>
      <c r="S154" s="783"/>
    </row>
    <row r="155" spans="1:19" ht="15" hidden="1" outlineLevel="1" thickTop="1" x14ac:dyDescent="0.35">
      <c r="A155" s="483"/>
      <c r="B155" s="762" t="s">
        <v>2160</v>
      </c>
      <c r="C155" s="757" t="s">
        <v>1032</v>
      </c>
      <c r="D155" s="664"/>
      <c r="E155" s="664"/>
      <c r="F155" s="664"/>
      <c r="G155" s="664"/>
      <c r="H155" s="664"/>
      <c r="I155" s="664"/>
      <c r="J155" s="664"/>
      <c r="K155" s="664"/>
      <c r="L155" s="666"/>
    </row>
    <row r="156" spans="1:19" hidden="1" outlineLevel="1" x14ac:dyDescent="0.35">
      <c r="A156" s="483"/>
      <c r="B156" s="762" t="s">
        <v>2160</v>
      </c>
      <c r="C156" s="664" t="s">
        <v>12</v>
      </c>
      <c r="D156" s="664"/>
      <c r="E156" s="664"/>
      <c r="F156" s="664"/>
      <c r="G156" s="664"/>
      <c r="H156" s="664"/>
      <c r="I156" s="664"/>
      <c r="J156" s="664"/>
      <c r="K156" s="664"/>
      <c r="L156" s="666"/>
    </row>
    <row r="157" spans="1:19" hidden="1" outlineLevel="1" x14ac:dyDescent="0.35">
      <c r="A157" s="483"/>
      <c r="B157" s="762" t="s">
        <v>2160</v>
      </c>
      <c r="C157" s="664" t="s">
        <v>13</v>
      </c>
      <c r="D157" s="664"/>
      <c r="E157" s="664"/>
      <c r="F157" s="664"/>
      <c r="G157" s="664"/>
      <c r="H157" s="664"/>
      <c r="I157" s="664"/>
      <c r="J157" s="664"/>
      <c r="K157" s="664"/>
      <c r="L157" s="666"/>
    </row>
    <row r="158" spans="1:19" hidden="1" outlineLevel="1" x14ac:dyDescent="0.35">
      <c r="A158" s="483"/>
      <c r="B158" s="762" t="s">
        <v>2160</v>
      </c>
      <c r="C158" s="664" t="s">
        <v>14</v>
      </c>
      <c r="D158" s="664"/>
      <c r="E158" s="664"/>
      <c r="F158" s="664"/>
      <c r="G158" s="664"/>
      <c r="H158" s="664"/>
      <c r="I158" s="664"/>
      <c r="J158" s="664"/>
      <c r="K158" s="664"/>
      <c r="L158" s="666"/>
    </row>
    <row r="159" spans="1:19" hidden="1" outlineLevel="1" x14ac:dyDescent="0.35">
      <c r="A159" s="483"/>
      <c r="B159" s="762" t="s">
        <v>2160</v>
      </c>
      <c r="C159" s="664" t="s">
        <v>15</v>
      </c>
      <c r="D159" s="664"/>
      <c r="E159" s="664"/>
      <c r="F159" s="664"/>
      <c r="G159" s="664"/>
      <c r="H159" s="664"/>
      <c r="I159" s="664"/>
      <c r="J159" s="664"/>
      <c r="K159" s="664"/>
      <c r="L159" s="666"/>
    </row>
    <row r="160" spans="1:19" hidden="1" outlineLevel="1" x14ac:dyDescent="0.35">
      <c r="A160" s="483"/>
      <c r="B160" s="762" t="s">
        <v>2160</v>
      </c>
      <c r="C160" s="664" t="s">
        <v>16</v>
      </c>
      <c r="D160" s="664"/>
      <c r="E160" s="664"/>
      <c r="F160" s="664"/>
      <c r="G160" s="664"/>
      <c r="H160" s="664"/>
      <c r="I160" s="664"/>
      <c r="J160" s="664"/>
      <c r="K160" s="664"/>
      <c r="L160" s="666"/>
    </row>
    <row r="161" spans="1:19" hidden="1" outlineLevel="1" x14ac:dyDescent="0.35">
      <c r="A161" s="483"/>
      <c r="B161" s="762" t="s">
        <v>2160</v>
      </c>
      <c r="C161" s="664" t="s">
        <v>17</v>
      </c>
      <c r="D161" s="664"/>
      <c r="E161" s="664"/>
      <c r="F161" s="664"/>
      <c r="G161" s="664"/>
      <c r="H161" s="664"/>
      <c r="I161" s="664"/>
      <c r="J161" s="664"/>
      <c r="K161" s="664"/>
      <c r="L161" s="666"/>
    </row>
    <row r="162" spans="1:19" ht="15" hidden="1" outlineLevel="1" thickBot="1" x14ac:dyDescent="0.4">
      <c r="A162" s="483"/>
      <c r="B162" s="761"/>
      <c r="C162" s="670"/>
      <c r="D162" s="670"/>
      <c r="E162" s="670"/>
      <c r="F162" s="670"/>
      <c r="G162" s="670"/>
      <c r="H162" s="670"/>
      <c r="I162" s="670"/>
      <c r="J162" s="670"/>
      <c r="K162" s="670"/>
      <c r="L162" s="711"/>
    </row>
    <row r="163" spans="1:19" ht="15.5" collapsed="1" thickTop="1" thickBot="1" x14ac:dyDescent="0.4">
      <c r="B163" s="2"/>
    </row>
    <row r="164" spans="1:19" ht="23" thickBot="1" x14ac:dyDescent="0.4">
      <c r="B164" s="524"/>
      <c r="C164" s="525" t="s">
        <v>18</v>
      </c>
      <c r="D164" s="525"/>
      <c r="E164" s="525"/>
      <c r="F164" s="525"/>
      <c r="G164" s="525"/>
      <c r="H164" s="525"/>
      <c r="I164" s="525"/>
      <c r="J164" s="525"/>
      <c r="K164" s="527"/>
      <c r="L164" s="526"/>
    </row>
    <row r="165" spans="1:19" s="2" customFormat="1" ht="15.5" hidden="1" outlineLevel="1" thickTop="1" thickBot="1" x14ac:dyDescent="0.4">
      <c r="B165" s="721"/>
      <c r="C165" s="719" t="s">
        <v>0</v>
      </c>
      <c r="D165" s="719"/>
      <c r="E165" s="719"/>
      <c r="F165" s="719"/>
      <c r="G165" s="719"/>
      <c r="H165" s="719"/>
      <c r="I165" s="719"/>
      <c r="J165" s="719"/>
      <c r="K165" s="719"/>
      <c r="L165" s="720"/>
      <c r="M165" s="385"/>
      <c r="S165" s="783"/>
    </row>
    <row r="166" spans="1:19" ht="15" hidden="1" outlineLevel="1" thickTop="1" x14ac:dyDescent="0.35">
      <c r="A166" s="483"/>
      <c r="B166" s="762" t="s">
        <v>1919</v>
      </c>
      <c r="C166" s="757" t="s">
        <v>1483</v>
      </c>
      <c r="D166" s="664"/>
      <c r="E166" s="664"/>
      <c r="F166" s="664"/>
      <c r="G166" s="664"/>
      <c r="H166" s="664"/>
      <c r="I166" s="664"/>
      <c r="J166" s="664"/>
      <c r="K166" s="664"/>
      <c r="L166" s="666"/>
    </row>
    <row r="167" spans="1:19" hidden="1" outlineLevel="1" x14ac:dyDescent="0.35">
      <c r="A167" s="483"/>
      <c r="B167" s="762" t="s">
        <v>1919</v>
      </c>
      <c r="C167" s="664" t="s">
        <v>12</v>
      </c>
      <c r="D167" s="664"/>
      <c r="E167" s="664"/>
      <c r="F167" s="664"/>
      <c r="G167" s="664"/>
      <c r="H167" s="664"/>
      <c r="I167" s="664"/>
      <c r="J167" s="664"/>
      <c r="K167" s="664"/>
      <c r="L167" s="666"/>
    </row>
    <row r="168" spans="1:19" hidden="1" outlineLevel="1" x14ac:dyDescent="0.35">
      <c r="A168" s="483"/>
      <c r="B168" s="762" t="s">
        <v>1919</v>
      </c>
      <c r="C168" s="664" t="s">
        <v>13</v>
      </c>
      <c r="D168" s="664"/>
      <c r="E168" s="664"/>
      <c r="F168" s="664"/>
      <c r="G168" s="664"/>
      <c r="H168" s="664"/>
      <c r="I168" s="664"/>
      <c r="J168" s="664"/>
      <c r="K168" s="664"/>
      <c r="L168" s="666"/>
    </row>
    <row r="169" spans="1:19" hidden="1" outlineLevel="1" x14ac:dyDescent="0.35">
      <c r="A169" s="483"/>
      <c r="B169" s="762" t="s">
        <v>1919</v>
      </c>
      <c r="C169" s="664" t="s">
        <v>19</v>
      </c>
      <c r="D169" s="664"/>
      <c r="E169" s="664"/>
      <c r="F169" s="664"/>
      <c r="G169" s="664"/>
      <c r="H169" s="664"/>
      <c r="I169" s="664"/>
      <c r="J169" s="664"/>
      <c r="K169" s="664"/>
      <c r="L169" s="666"/>
    </row>
    <row r="170" spans="1:19" hidden="1" outlineLevel="1" x14ac:dyDescent="0.35">
      <c r="A170" s="483"/>
      <c r="B170" s="762" t="s">
        <v>1919</v>
      </c>
      <c r="C170" s="664" t="s">
        <v>36</v>
      </c>
      <c r="D170" s="664"/>
      <c r="E170" s="664"/>
      <c r="F170" s="664"/>
      <c r="G170" s="664"/>
      <c r="H170" s="664"/>
      <c r="I170" s="664"/>
      <c r="J170" s="664"/>
      <c r="K170" s="664"/>
      <c r="L170" s="666"/>
    </row>
    <row r="171" spans="1:19" hidden="1" outlineLevel="1" x14ac:dyDescent="0.35">
      <c r="A171" s="483"/>
      <c r="B171" s="762" t="s">
        <v>1919</v>
      </c>
      <c r="C171" s="664" t="s">
        <v>1484</v>
      </c>
      <c r="D171" s="664"/>
      <c r="E171" s="664"/>
      <c r="F171" s="664"/>
      <c r="G171" s="664"/>
      <c r="H171" s="664"/>
      <c r="I171" s="664"/>
      <c r="J171" s="664"/>
      <c r="K171" s="664"/>
      <c r="L171" s="666"/>
    </row>
    <row r="172" spans="1:19" hidden="1" outlineLevel="1" x14ac:dyDescent="0.35">
      <c r="A172" s="483"/>
      <c r="B172" s="762" t="s">
        <v>1919</v>
      </c>
      <c r="C172" s="664" t="s">
        <v>1485</v>
      </c>
      <c r="D172" s="664"/>
      <c r="E172" s="664"/>
      <c r="F172" s="664"/>
      <c r="G172" s="664"/>
      <c r="H172" s="664"/>
      <c r="I172" s="664"/>
      <c r="J172" s="664"/>
      <c r="K172" s="664"/>
      <c r="L172" s="666"/>
    </row>
    <row r="173" spans="1:19" hidden="1" outlineLevel="1" x14ac:dyDescent="0.35">
      <c r="A173" s="483"/>
      <c r="B173" s="762" t="s">
        <v>1919</v>
      </c>
      <c r="C173" s="664" t="s">
        <v>15</v>
      </c>
      <c r="D173" s="664"/>
      <c r="E173" s="664"/>
      <c r="F173" s="664"/>
      <c r="G173" s="664"/>
      <c r="H173" s="664"/>
      <c r="I173" s="664"/>
      <c r="J173" s="664"/>
      <c r="K173" s="664"/>
      <c r="L173" s="666"/>
    </row>
    <row r="174" spans="1:19" hidden="1" outlineLevel="1" x14ac:dyDescent="0.35">
      <c r="A174" s="483"/>
      <c r="B174" s="762" t="s">
        <v>1919</v>
      </c>
      <c r="C174" s="664" t="s">
        <v>20</v>
      </c>
      <c r="D174" s="664"/>
      <c r="E174" s="664"/>
      <c r="F174" s="664"/>
      <c r="G174" s="664"/>
      <c r="H174" s="664"/>
      <c r="I174" s="664"/>
      <c r="J174" s="664"/>
      <c r="K174" s="664"/>
      <c r="L174" s="666"/>
    </row>
    <row r="175" spans="1:19" hidden="1" outlineLevel="1" x14ac:dyDescent="0.35">
      <c r="A175" s="483"/>
      <c r="B175" s="762" t="s">
        <v>1919</v>
      </c>
      <c r="C175" s="664" t="s">
        <v>16</v>
      </c>
      <c r="D175" s="664"/>
      <c r="E175" s="664"/>
      <c r="F175" s="664"/>
      <c r="G175" s="664"/>
      <c r="H175" s="664"/>
      <c r="I175" s="664"/>
      <c r="J175" s="664"/>
      <c r="K175" s="664"/>
      <c r="L175" s="666"/>
    </row>
    <row r="176" spans="1:19" hidden="1" outlineLevel="1" x14ac:dyDescent="0.35">
      <c r="A176" s="483"/>
      <c r="B176" s="762" t="s">
        <v>1919</v>
      </c>
      <c r="C176" s="664" t="s">
        <v>17</v>
      </c>
      <c r="D176" s="664"/>
      <c r="E176" s="664"/>
      <c r="F176" s="664"/>
      <c r="G176" s="664"/>
      <c r="H176" s="664"/>
      <c r="I176" s="664"/>
      <c r="J176" s="664"/>
      <c r="K176" s="664"/>
      <c r="L176" s="666"/>
    </row>
    <row r="177" spans="1:19" hidden="1" outlineLevel="1" x14ac:dyDescent="0.35">
      <c r="A177" s="483"/>
      <c r="B177" s="762" t="s">
        <v>1919</v>
      </c>
      <c r="C177" s="664" t="s">
        <v>21</v>
      </c>
      <c r="D177" s="664"/>
      <c r="E177" s="664"/>
      <c r="F177" s="664"/>
      <c r="G177" s="664"/>
      <c r="H177" s="664"/>
      <c r="I177" s="664"/>
      <c r="J177" s="664"/>
      <c r="K177" s="664"/>
      <c r="L177" s="666"/>
    </row>
    <row r="178" spans="1:19" hidden="1" outlineLevel="1" x14ac:dyDescent="0.35">
      <c r="A178" s="483"/>
      <c r="B178" s="762" t="s">
        <v>1919</v>
      </c>
      <c r="C178" s="664" t="s">
        <v>22</v>
      </c>
      <c r="D178" s="664"/>
      <c r="E178" s="664"/>
      <c r="F178" s="664"/>
      <c r="G178" s="664"/>
      <c r="H178" s="664"/>
      <c r="I178" s="664"/>
      <c r="J178" s="664"/>
      <c r="K178" s="664"/>
      <c r="L178" s="666"/>
    </row>
    <row r="179" spans="1:19" hidden="1" outlineLevel="1" x14ac:dyDescent="0.35">
      <c r="A179" s="483"/>
      <c r="B179" s="762" t="s">
        <v>1919</v>
      </c>
      <c r="C179" s="664" t="s">
        <v>23</v>
      </c>
      <c r="D179" s="664"/>
      <c r="E179" s="664"/>
      <c r="F179" s="664"/>
      <c r="G179" s="664"/>
      <c r="H179" s="664"/>
      <c r="I179" s="664"/>
      <c r="J179" s="664"/>
      <c r="K179" s="664"/>
      <c r="L179" s="666"/>
    </row>
    <row r="180" spans="1:19" hidden="1" outlineLevel="1" x14ac:dyDescent="0.35">
      <c r="A180" s="483"/>
      <c r="B180" s="762" t="s">
        <v>1919</v>
      </c>
      <c r="C180" s="664" t="s">
        <v>24</v>
      </c>
      <c r="D180" s="664"/>
      <c r="E180" s="664"/>
      <c r="F180" s="664"/>
      <c r="G180" s="664"/>
      <c r="H180" s="664"/>
      <c r="I180" s="664"/>
      <c r="J180" s="664"/>
      <c r="K180" s="664"/>
      <c r="L180" s="666"/>
    </row>
    <row r="181" spans="1:19" hidden="1" outlineLevel="1" x14ac:dyDescent="0.35">
      <c r="A181" s="483"/>
      <c r="B181" s="762" t="s">
        <v>1919</v>
      </c>
      <c r="C181" s="664" t="s">
        <v>1072</v>
      </c>
      <c r="D181" s="664"/>
      <c r="E181" s="664"/>
      <c r="F181" s="664"/>
      <c r="G181" s="664"/>
      <c r="H181" s="664"/>
      <c r="I181" s="664"/>
      <c r="J181" s="664"/>
      <c r="K181" s="664"/>
      <c r="L181" s="666"/>
    </row>
    <row r="182" spans="1:19" hidden="1" outlineLevel="1" x14ac:dyDescent="0.35">
      <c r="A182" s="483"/>
      <c r="B182" s="762" t="s">
        <v>1919</v>
      </c>
      <c r="C182" s="664" t="s">
        <v>1073</v>
      </c>
      <c r="D182" s="664"/>
      <c r="E182" s="664"/>
      <c r="F182" s="664"/>
      <c r="G182" s="664"/>
      <c r="H182" s="664"/>
      <c r="I182" s="664"/>
      <c r="J182" s="664"/>
      <c r="K182" s="664"/>
      <c r="L182" s="666"/>
    </row>
    <row r="183" spans="1:19" hidden="1" outlineLevel="1" x14ac:dyDescent="0.35">
      <c r="A183" s="483"/>
      <c r="B183" s="762" t="s">
        <v>1919</v>
      </c>
      <c r="C183" s="664" t="s">
        <v>1075</v>
      </c>
      <c r="D183" s="664"/>
      <c r="E183" s="664"/>
      <c r="F183" s="664"/>
      <c r="G183" s="664"/>
      <c r="H183" s="664"/>
      <c r="I183" s="664"/>
      <c r="J183" s="664"/>
      <c r="K183" s="664"/>
      <c r="L183" s="666"/>
    </row>
    <row r="184" spans="1:19" hidden="1" outlineLevel="1" x14ac:dyDescent="0.35">
      <c r="A184" s="483"/>
      <c r="B184" s="762" t="s">
        <v>1919</v>
      </c>
      <c r="C184" s="664" t="s">
        <v>1074</v>
      </c>
      <c r="D184" s="664"/>
      <c r="E184" s="664"/>
      <c r="F184" s="664"/>
      <c r="G184" s="664"/>
      <c r="H184" s="664"/>
      <c r="I184" s="664"/>
      <c r="J184" s="664"/>
      <c r="K184" s="664"/>
      <c r="L184" s="666"/>
    </row>
    <row r="185" spans="1:19" hidden="1" outlineLevel="1" x14ac:dyDescent="0.35">
      <c r="A185" s="483"/>
      <c r="B185" s="762" t="s">
        <v>1919</v>
      </c>
      <c r="C185" s="664" t="s">
        <v>1421</v>
      </c>
      <c r="D185" s="664"/>
      <c r="E185" s="664"/>
      <c r="F185" s="664"/>
      <c r="G185" s="664"/>
      <c r="H185" s="664"/>
      <c r="I185" s="664"/>
      <c r="J185" s="664"/>
      <c r="K185" s="664"/>
      <c r="L185" s="666"/>
    </row>
    <row r="186" spans="1:19" ht="15" hidden="1" outlineLevel="1" thickBot="1" x14ac:dyDescent="0.4">
      <c r="A186" s="483"/>
      <c r="B186" s="761"/>
      <c r="C186" s="670"/>
      <c r="D186" s="670"/>
      <c r="E186" s="670"/>
      <c r="F186" s="670"/>
      <c r="G186" s="670"/>
      <c r="H186" s="670"/>
      <c r="I186" s="670"/>
      <c r="J186" s="670"/>
      <c r="K186" s="670"/>
      <c r="L186" s="711"/>
    </row>
    <row r="187" spans="1:19" ht="15.5" collapsed="1" thickTop="1" thickBot="1" x14ac:dyDescent="0.4">
      <c r="B187" s="2"/>
    </row>
    <row r="188" spans="1:19" ht="23" thickBot="1" x14ac:dyDescent="0.4">
      <c r="B188" s="524"/>
      <c r="C188" s="525" t="s">
        <v>25</v>
      </c>
      <c r="D188" s="525"/>
      <c r="E188" s="525"/>
      <c r="F188" s="525"/>
      <c r="G188" s="525"/>
      <c r="H188" s="525"/>
      <c r="I188" s="525"/>
      <c r="J188" s="525"/>
      <c r="K188" s="527"/>
      <c r="L188" s="526"/>
    </row>
    <row r="189" spans="1:19" s="2" customFormat="1" ht="15.5" hidden="1" outlineLevel="1" thickTop="1" thickBot="1" x14ac:dyDescent="0.4">
      <c r="B189" s="721"/>
      <c r="C189" s="719" t="s">
        <v>0</v>
      </c>
      <c r="D189" s="719"/>
      <c r="E189" s="719"/>
      <c r="F189" s="719"/>
      <c r="G189" s="719"/>
      <c r="H189" s="719"/>
      <c r="I189" s="719"/>
      <c r="J189" s="719"/>
      <c r="K189" s="719"/>
      <c r="L189" s="720"/>
      <c r="M189" s="385"/>
      <c r="S189" s="783"/>
    </row>
    <row r="190" spans="1:19" ht="15" hidden="1" outlineLevel="1" thickTop="1" x14ac:dyDescent="0.35">
      <c r="A190" s="483"/>
      <c r="B190" s="762" t="s">
        <v>1914</v>
      </c>
      <c r="C190" s="757" t="s">
        <v>1032</v>
      </c>
      <c r="D190" s="664"/>
      <c r="E190" s="664"/>
      <c r="F190" s="664"/>
      <c r="G190" s="664"/>
      <c r="H190" s="664"/>
      <c r="I190" s="664"/>
      <c r="J190" s="664"/>
      <c r="K190" s="664"/>
      <c r="L190" s="666"/>
    </row>
    <row r="191" spans="1:19" hidden="1" outlineLevel="1" x14ac:dyDescent="0.35">
      <c r="A191" s="483"/>
      <c r="B191" s="762" t="s">
        <v>1914</v>
      </c>
      <c r="C191" s="664" t="s">
        <v>1037</v>
      </c>
      <c r="D191" s="664"/>
      <c r="E191" s="664"/>
      <c r="F191" s="664"/>
      <c r="G191" s="664"/>
      <c r="H191" s="664"/>
      <c r="I191" s="664"/>
      <c r="J191" s="664"/>
      <c r="K191" s="664"/>
      <c r="L191" s="666"/>
    </row>
    <row r="192" spans="1:19" hidden="1" outlineLevel="1" x14ac:dyDescent="0.35">
      <c r="A192" s="483"/>
      <c r="B192" s="762" t="s">
        <v>1914</v>
      </c>
      <c r="C192" s="664" t="s">
        <v>1036</v>
      </c>
      <c r="D192" s="664"/>
      <c r="E192" s="664"/>
      <c r="F192" s="664"/>
      <c r="G192" s="664"/>
      <c r="H192" s="664"/>
      <c r="I192" s="664"/>
      <c r="J192" s="664"/>
      <c r="K192" s="664"/>
      <c r="L192" s="666"/>
    </row>
    <row r="193" spans="1:12" hidden="1" outlineLevel="1" x14ac:dyDescent="0.35">
      <c r="A193" s="483"/>
      <c r="B193" s="762" t="s">
        <v>1914</v>
      </c>
      <c r="C193" s="664" t="s">
        <v>12</v>
      </c>
      <c r="D193" s="664"/>
      <c r="E193" s="664"/>
      <c r="F193" s="664"/>
      <c r="G193" s="664"/>
      <c r="H193" s="664"/>
      <c r="I193" s="664"/>
      <c r="J193" s="664"/>
      <c r="K193" s="664"/>
      <c r="L193" s="666"/>
    </row>
    <row r="194" spans="1:12" hidden="1" outlineLevel="1" x14ac:dyDescent="0.35">
      <c r="A194" s="483"/>
      <c r="B194" s="762" t="s">
        <v>1914</v>
      </c>
      <c r="C194" s="664" t="s">
        <v>13</v>
      </c>
      <c r="D194" s="664"/>
      <c r="E194" s="664"/>
      <c r="F194" s="664"/>
      <c r="G194" s="664"/>
      <c r="H194" s="664"/>
      <c r="I194" s="664"/>
      <c r="J194" s="664"/>
      <c r="K194" s="664"/>
      <c r="L194" s="666"/>
    </row>
    <row r="195" spans="1:12" hidden="1" outlineLevel="1" x14ac:dyDescent="0.35">
      <c r="A195" s="483"/>
      <c r="B195" s="762" t="s">
        <v>1914</v>
      </c>
      <c r="C195" s="664" t="s">
        <v>26</v>
      </c>
      <c r="D195" s="664"/>
      <c r="E195" s="664"/>
      <c r="F195" s="664"/>
      <c r="G195" s="664"/>
      <c r="H195" s="664"/>
      <c r="I195" s="664"/>
      <c r="J195" s="664"/>
      <c r="K195" s="664"/>
      <c r="L195" s="666"/>
    </row>
    <row r="196" spans="1:12" hidden="1" outlineLevel="1" x14ac:dyDescent="0.35">
      <c r="A196" s="483"/>
      <c r="B196" s="762" t="s">
        <v>1914</v>
      </c>
      <c r="C196" s="664" t="s">
        <v>27</v>
      </c>
      <c r="D196" s="664"/>
      <c r="E196" s="664"/>
      <c r="F196" s="664"/>
      <c r="G196" s="664"/>
      <c r="H196" s="664"/>
      <c r="I196" s="664"/>
      <c r="J196" s="664"/>
      <c r="K196" s="664"/>
      <c r="L196" s="666"/>
    </row>
    <row r="197" spans="1:12" hidden="1" outlineLevel="1" x14ac:dyDescent="0.35">
      <c r="A197" s="483"/>
      <c r="B197" s="762" t="s">
        <v>1914</v>
      </c>
      <c r="C197" s="664" t="s">
        <v>28</v>
      </c>
      <c r="D197" s="664"/>
      <c r="E197" s="664"/>
      <c r="F197" s="664"/>
      <c r="G197" s="664"/>
      <c r="H197" s="664"/>
      <c r="I197" s="664"/>
      <c r="J197" s="664"/>
      <c r="K197" s="664"/>
      <c r="L197" s="666"/>
    </row>
    <row r="198" spans="1:12" hidden="1" outlineLevel="1" x14ac:dyDescent="0.35">
      <c r="A198" s="483"/>
      <c r="B198" s="762" t="s">
        <v>1914</v>
      </c>
      <c r="C198" s="664" t="s">
        <v>29</v>
      </c>
      <c r="D198" s="664"/>
      <c r="E198" s="664"/>
      <c r="F198" s="664"/>
      <c r="G198" s="664"/>
      <c r="H198" s="664"/>
      <c r="I198" s="664"/>
      <c r="J198" s="664"/>
      <c r="K198" s="664"/>
      <c r="L198" s="666"/>
    </row>
    <row r="199" spans="1:12" hidden="1" outlineLevel="1" x14ac:dyDescent="0.35">
      <c r="A199" s="483"/>
      <c r="B199" s="762" t="s">
        <v>1914</v>
      </c>
      <c r="C199" s="664" t="s">
        <v>30</v>
      </c>
      <c r="D199" s="664"/>
      <c r="E199" s="664"/>
      <c r="F199" s="664"/>
      <c r="G199" s="664"/>
      <c r="H199" s="664"/>
      <c r="I199" s="664"/>
      <c r="J199" s="664"/>
      <c r="K199" s="664"/>
      <c r="L199" s="666"/>
    </row>
    <row r="200" spans="1:12" hidden="1" outlineLevel="1" x14ac:dyDescent="0.35">
      <c r="A200" s="483"/>
      <c r="B200" s="762" t="s">
        <v>1914</v>
      </c>
      <c r="C200" s="664" t="s">
        <v>31</v>
      </c>
      <c r="D200" s="664"/>
      <c r="E200" s="664"/>
      <c r="F200" s="664"/>
      <c r="G200" s="664"/>
      <c r="H200" s="664"/>
      <c r="I200" s="664"/>
      <c r="J200" s="664"/>
      <c r="K200" s="664"/>
      <c r="L200" s="666"/>
    </row>
    <row r="201" spans="1:12" hidden="1" outlineLevel="1" x14ac:dyDescent="0.35">
      <c r="A201" s="483"/>
      <c r="B201" s="762" t="s">
        <v>1914</v>
      </c>
      <c r="C201" s="664" t="s">
        <v>1156</v>
      </c>
      <c r="D201" s="664"/>
      <c r="E201" s="664"/>
      <c r="F201" s="664"/>
      <c r="G201" s="664"/>
      <c r="H201" s="664"/>
      <c r="I201" s="664"/>
      <c r="J201" s="664"/>
      <c r="K201" s="664"/>
      <c r="L201" s="666"/>
    </row>
    <row r="202" spans="1:12" hidden="1" outlineLevel="1" x14ac:dyDescent="0.35">
      <c r="A202" s="483"/>
      <c r="B202" s="762" t="s">
        <v>1914</v>
      </c>
      <c r="C202" s="664" t="s">
        <v>1157</v>
      </c>
      <c r="D202" s="664"/>
      <c r="E202" s="664"/>
      <c r="F202" s="664"/>
      <c r="G202" s="664"/>
      <c r="H202" s="664"/>
      <c r="I202" s="664"/>
      <c r="J202" s="664"/>
      <c r="K202" s="664"/>
      <c r="L202" s="666"/>
    </row>
    <row r="203" spans="1:12" hidden="1" outlineLevel="1" x14ac:dyDescent="0.35">
      <c r="A203" s="483"/>
      <c r="B203" s="762" t="s">
        <v>1914</v>
      </c>
      <c r="C203" s="664" t="s">
        <v>32</v>
      </c>
      <c r="D203" s="664"/>
      <c r="E203" s="664"/>
      <c r="F203" s="664"/>
      <c r="G203" s="664"/>
      <c r="H203" s="664"/>
      <c r="I203" s="664"/>
      <c r="J203" s="664"/>
      <c r="K203" s="664"/>
      <c r="L203" s="666"/>
    </row>
    <row r="204" spans="1:12" hidden="1" outlineLevel="1" x14ac:dyDescent="0.35">
      <c r="A204" s="483"/>
      <c r="B204" s="762" t="s">
        <v>1914</v>
      </c>
      <c r="C204" s="664" t="s">
        <v>14</v>
      </c>
      <c r="D204" s="664"/>
      <c r="E204" s="664"/>
      <c r="F204" s="664"/>
      <c r="G204" s="664"/>
      <c r="H204" s="664"/>
      <c r="I204" s="664"/>
      <c r="J204" s="664"/>
      <c r="K204" s="664"/>
      <c r="L204" s="666"/>
    </row>
    <row r="205" spans="1:12" hidden="1" outlineLevel="1" x14ac:dyDescent="0.35">
      <c r="A205" s="483"/>
      <c r="B205" s="762" t="s">
        <v>1914</v>
      </c>
      <c r="C205" s="664" t="s">
        <v>33</v>
      </c>
      <c r="D205" s="664"/>
      <c r="E205" s="664"/>
      <c r="F205" s="664"/>
      <c r="G205" s="664"/>
      <c r="H205" s="664"/>
      <c r="I205" s="664"/>
      <c r="J205" s="664"/>
      <c r="K205" s="664"/>
      <c r="L205" s="666"/>
    </row>
    <row r="206" spans="1:12" hidden="1" outlineLevel="1" x14ac:dyDescent="0.35">
      <c r="A206" s="483"/>
      <c r="B206" s="762" t="s">
        <v>1914</v>
      </c>
      <c r="C206" s="664" t="s">
        <v>34</v>
      </c>
      <c r="D206" s="664"/>
      <c r="E206" s="664"/>
      <c r="F206" s="664"/>
      <c r="G206" s="664"/>
      <c r="H206" s="664"/>
      <c r="I206" s="664"/>
      <c r="J206" s="664"/>
      <c r="K206" s="664"/>
      <c r="L206" s="666"/>
    </row>
    <row r="207" spans="1:12" hidden="1" outlineLevel="1" x14ac:dyDescent="0.35">
      <c r="A207" s="483"/>
      <c r="B207" s="762" t="s">
        <v>1914</v>
      </c>
      <c r="C207" s="664" t="s">
        <v>35</v>
      </c>
      <c r="D207" s="664"/>
      <c r="E207" s="664"/>
      <c r="F207" s="664"/>
      <c r="G207" s="664"/>
      <c r="H207" s="664"/>
      <c r="I207" s="664"/>
      <c r="J207" s="664"/>
      <c r="K207" s="664"/>
      <c r="L207" s="666"/>
    </row>
    <row r="208" spans="1:12" hidden="1" outlineLevel="1" x14ac:dyDescent="0.35">
      <c r="A208" s="483"/>
      <c r="B208" s="762" t="s">
        <v>1914</v>
      </c>
      <c r="C208" s="664" t="s">
        <v>15</v>
      </c>
      <c r="D208" s="664"/>
      <c r="E208" s="664"/>
      <c r="F208" s="664"/>
      <c r="G208" s="664"/>
      <c r="H208" s="664"/>
      <c r="I208" s="664"/>
      <c r="J208" s="664"/>
      <c r="K208" s="664"/>
      <c r="L208" s="666"/>
    </row>
    <row r="209" spans="1:19" hidden="1" outlineLevel="1" x14ac:dyDescent="0.35">
      <c r="A209" s="483"/>
      <c r="B209" s="762" t="s">
        <v>1914</v>
      </c>
      <c r="C209" s="664" t="s">
        <v>2289</v>
      </c>
      <c r="D209" s="664"/>
      <c r="E209" s="664"/>
      <c r="F209" s="664"/>
      <c r="G209" s="664"/>
      <c r="H209" s="664"/>
      <c r="I209" s="664"/>
      <c r="J209" s="664"/>
      <c r="K209" s="664"/>
      <c r="L209" s="666"/>
    </row>
    <row r="210" spans="1:19" hidden="1" outlineLevel="1" x14ac:dyDescent="0.35">
      <c r="A210" s="483"/>
      <c r="B210" s="762" t="s">
        <v>1914</v>
      </c>
      <c r="C210" s="664" t="s">
        <v>37</v>
      </c>
      <c r="D210" s="664"/>
      <c r="E210" s="664"/>
      <c r="F210" s="664"/>
      <c r="G210" s="664"/>
      <c r="H210" s="664"/>
      <c r="I210" s="664"/>
      <c r="J210" s="664"/>
      <c r="K210" s="664"/>
      <c r="L210" s="666"/>
    </row>
    <row r="211" spans="1:19" hidden="1" outlineLevel="1" x14ac:dyDescent="0.35">
      <c r="A211" s="483"/>
      <c r="B211" s="762" t="s">
        <v>1914</v>
      </c>
      <c r="C211" s="664" t="s">
        <v>38</v>
      </c>
      <c r="D211" s="664"/>
      <c r="E211" s="664"/>
      <c r="F211" s="664"/>
      <c r="G211" s="664"/>
      <c r="H211" s="664"/>
      <c r="I211" s="664"/>
      <c r="J211" s="664"/>
      <c r="K211" s="664"/>
      <c r="L211" s="666"/>
    </row>
    <row r="212" spans="1:19" hidden="1" outlineLevel="1" x14ac:dyDescent="0.35">
      <c r="A212" s="483"/>
      <c r="B212" s="762" t="s">
        <v>1914</v>
      </c>
      <c r="C212" s="664" t="s">
        <v>16</v>
      </c>
      <c r="D212" s="664"/>
      <c r="E212" s="664"/>
      <c r="F212" s="664"/>
      <c r="G212" s="664"/>
      <c r="H212" s="664"/>
      <c r="I212" s="664"/>
      <c r="J212" s="664"/>
      <c r="K212" s="664"/>
      <c r="L212" s="666"/>
    </row>
    <row r="213" spans="1:19" hidden="1" outlineLevel="1" x14ac:dyDescent="0.35">
      <c r="A213" s="483"/>
      <c r="B213" s="762" t="s">
        <v>1914</v>
      </c>
      <c r="C213" s="664" t="s">
        <v>17</v>
      </c>
      <c r="D213" s="664"/>
      <c r="E213" s="664"/>
      <c r="F213" s="664"/>
      <c r="G213" s="664"/>
      <c r="H213" s="664"/>
      <c r="I213" s="664"/>
      <c r="J213" s="664"/>
      <c r="K213" s="664"/>
      <c r="L213" s="666"/>
    </row>
    <row r="214" spans="1:19" hidden="1" outlineLevel="1" x14ac:dyDescent="0.35">
      <c r="A214" s="483"/>
      <c r="B214" s="762" t="s">
        <v>1914</v>
      </c>
      <c r="C214" s="664" t="s">
        <v>39</v>
      </c>
      <c r="D214" s="664"/>
      <c r="E214" s="664"/>
      <c r="F214" s="664"/>
      <c r="G214" s="664"/>
      <c r="H214" s="664"/>
      <c r="I214" s="664"/>
      <c r="J214" s="664"/>
      <c r="K214" s="664"/>
      <c r="L214" s="666"/>
    </row>
    <row r="215" spans="1:19" hidden="1" outlineLevel="1" x14ac:dyDescent="0.35">
      <c r="A215" s="483"/>
      <c r="B215" s="762" t="s">
        <v>1914</v>
      </c>
      <c r="C215" s="664" t="s">
        <v>40</v>
      </c>
      <c r="D215" s="664"/>
      <c r="E215" s="664"/>
      <c r="F215" s="664"/>
      <c r="G215" s="664"/>
      <c r="H215" s="664"/>
      <c r="I215" s="664"/>
      <c r="J215" s="664"/>
      <c r="K215" s="664"/>
      <c r="L215" s="666"/>
    </row>
    <row r="216" spans="1:19" hidden="1" outlineLevel="1" x14ac:dyDescent="0.35">
      <c r="A216" s="483"/>
      <c r="B216" s="762" t="s">
        <v>1914</v>
      </c>
      <c r="C216" s="664" t="s">
        <v>1071</v>
      </c>
      <c r="D216" s="664"/>
      <c r="E216" s="664"/>
      <c r="F216" s="664"/>
      <c r="G216" s="664"/>
      <c r="H216" s="664"/>
      <c r="I216" s="664"/>
      <c r="J216" s="664"/>
      <c r="K216" s="664"/>
      <c r="L216" s="666"/>
    </row>
    <row r="217" spans="1:19" hidden="1" outlineLevel="1" x14ac:dyDescent="0.35">
      <c r="A217" s="483"/>
      <c r="B217" s="762" t="s">
        <v>1914</v>
      </c>
      <c r="C217" s="664" t="s">
        <v>1420</v>
      </c>
      <c r="D217" s="664"/>
      <c r="E217" s="664"/>
      <c r="F217" s="664"/>
      <c r="G217" s="664"/>
      <c r="H217" s="664"/>
      <c r="I217" s="664"/>
      <c r="J217" s="664"/>
      <c r="K217" s="664"/>
      <c r="L217" s="666"/>
    </row>
    <row r="218" spans="1:19" ht="15" hidden="1" outlineLevel="1" thickBot="1" x14ac:dyDescent="0.4">
      <c r="A218" s="483"/>
      <c r="B218" s="761"/>
      <c r="C218" s="670"/>
      <c r="D218" s="670"/>
      <c r="E218" s="670"/>
      <c r="F218" s="670"/>
      <c r="G218" s="670"/>
      <c r="H218" s="670"/>
      <c r="I218" s="670"/>
      <c r="J218" s="670"/>
      <c r="K218" s="670"/>
      <c r="L218" s="711"/>
    </row>
    <row r="219" spans="1:19" ht="15.5" collapsed="1" thickTop="1" thickBot="1" x14ac:dyDescent="0.4">
      <c r="B219" s="2"/>
    </row>
    <row r="220" spans="1:19" ht="23" thickBot="1" x14ac:dyDescent="0.4">
      <c r="B220" s="524"/>
      <c r="C220" s="525" t="s">
        <v>41</v>
      </c>
      <c r="D220" s="525"/>
      <c r="E220" s="525"/>
      <c r="F220" s="525"/>
      <c r="G220" s="525"/>
      <c r="H220" s="525"/>
      <c r="I220" s="525"/>
      <c r="J220" s="525"/>
      <c r="K220" s="527"/>
      <c r="L220" s="526"/>
    </row>
    <row r="221" spans="1:19" s="2" customFormat="1" ht="15.5" hidden="1" outlineLevel="1" thickTop="1" thickBot="1" x14ac:dyDescent="0.4">
      <c r="B221" s="721"/>
      <c r="C221" s="719" t="s">
        <v>0</v>
      </c>
      <c r="D221" s="719"/>
      <c r="E221" s="719"/>
      <c r="F221" s="719"/>
      <c r="G221" s="719"/>
      <c r="H221" s="719"/>
      <c r="I221" s="719"/>
      <c r="J221" s="719"/>
      <c r="K221" s="719"/>
      <c r="L221" s="720"/>
      <c r="M221" s="385"/>
      <c r="S221" s="783"/>
    </row>
    <row r="222" spans="1:19" ht="15" hidden="1" outlineLevel="1" thickTop="1" x14ac:dyDescent="0.35">
      <c r="A222" s="483"/>
      <c r="B222" s="762" t="s">
        <v>1915</v>
      </c>
      <c r="C222" s="757" t="s">
        <v>42</v>
      </c>
      <c r="D222" s="664"/>
      <c r="E222" s="664"/>
      <c r="F222" s="664"/>
      <c r="G222" s="664"/>
      <c r="H222" s="664"/>
      <c r="I222" s="664"/>
      <c r="J222" s="664"/>
      <c r="K222" s="664"/>
      <c r="L222" s="666"/>
    </row>
    <row r="223" spans="1:19" hidden="1" outlineLevel="1" x14ac:dyDescent="0.35">
      <c r="A223" s="483"/>
      <c r="B223" s="762" t="s">
        <v>1915</v>
      </c>
      <c r="C223" s="664" t="s">
        <v>43</v>
      </c>
      <c r="D223" s="664"/>
      <c r="E223" s="664"/>
      <c r="F223" s="664"/>
      <c r="G223" s="664"/>
      <c r="H223" s="664"/>
      <c r="I223" s="664"/>
      <c r="J223" s="664"/>
      <c r="K223" s="664"/>
      <c r="L223" s="666"/>
    </row>
    <row r="224" spans="1:19" hidden="1" outlineLevel="1" x14ac:dyDescent="0.35">
      <c r="A224" s="483"/>
      <c r="B224" s="762" t="s">
        <v>1915</v>
      </c>
      <c r="C224" s="664" t="s">
        <v>44</v>
      </c>
      <c r="D224" s="664"/>
      <c r="E224" s="664"/>
      <c r="F224" s="664"/>
      <c r="G224" s="664"/>
      <c r="H224" s="664"/>
      <c r="I224" s="664"/>
      <c r="J224" s="664"/>
      <c r="K224" s="664"/>
      <c r="L224" s="666"/>
    </row>
    <row r="225" spans="1:12" hidden="1" outlineLevel="1" x14ac:dyDescent="0.35">
      <c r="A225" s="483"/>
      <c r="B225" s="762" t="s">
        <v>1915</v>
      </c>
      <c r="C225" s="664" t="s">
        <v>45</v>
      </c>
      <c r="D225" s="664"/>
      <c r="E225" s="664"/>
      <c r="F225" s="664"/>
      <c r="G225" s="664"/>
      <c r="H225" s="664"/>
      <c r="I225" s="664"/>
      <c r="J225" s="664"/>
      <c r="K225" s="664"/>
      <c r="L225" s="666"/>
    </row>
    <row r="226" spans="1:12" hidden="1" outlineLevel="1" x14ac:dyDescent="0.35">
      <c r="A226" s="483"/>
      <c r="B226" s="762" t="s">
        <v>1915</v>
      </c>
      <c r="C226" s="664" t="s">
        <v>46</v>
      </c>
      <c r="D226" s="664"/>
      <c r="E226" s="664"/>
      <c r="F226" s="664"/>
      <c r="G226" s="664"/>
      <c r="H226" s="664"/>
      <c r="I226" s="664"/>
      <c r="J226" s="664"/>
      <c r="K226" s="664"/>
      <c r="L226" s="666"/>
    </row>
    <row r="227" spans="1:12" hidden="1" outlineLevel="1" x14ac:dyDescent="0.35">
      <c r="A227" s="483"/>
      <c r="B227" s="762" t="s">
        <v>1915</v>
      </c>
      <c r="C227" s="664" t="s">
        <v>47</v>
      </c>
      <c r="D227" s="664"/>
      <c r="E227" s="664"/>
      <c r="F227" s="664"/>
      <c r="G227" s="664"/>
      <c r="H227" s="664"/>
      <c r="I227" s="664"/>
      <c r="J227" s="664"/>
      <c r="K227" s="664"/>
      <c r="L227" s="666"/>
    </row>
    <row r="228" spans="1:12" hidden="1" outlineLevel="1" x14ac:dyDescent="0.35">
      <c r="A228" s="483"/>
      <c r="B228" s="762" t="s">
        <v>1915</v>
      </c>
      <c r="C228" s="664" t="s">
        <v>48</v>
      </c>
      <c r="D228" s="664"/>
      <c r="E228" s="664"/>
      <c r="F228" s="664"/>
      <c r="G228" s="664"/>
      <c r="H228" s="664"/>
      <c r="I228" s="664"/>
      <c r="J228" s="664"/>
      <c r="K228" s="664"/>
      <c r="L228" s="666"/>
    </row>
    <row r="229" spans="1:12" hidden="1" outlineLevel="1" x14ac:dyDescent="0.35">
      <c r="A229" s="483"/>
      <c r="B229" s="762" t="s">
        <v>1915</v>
      </c>
      <c r="C229" s="664" t="s">
        <v>49</v>
      </c>
      <c r="D229" s="664"/>
      <c r="E229" s="664"/>
      <c r="F229" s="664"/>
      <c r="G229" s="664"/>
      <c r="H229" s="664"/>
      <c r="I229" s="664"/>
      <c r="J229" s="664"/>
      <c r="K229" s="664"/>
      <c r="L229" s="666"/>
    </row>
    <row r="230" spans="1:12" hidden="1" outlineLevel="1" x14ac:dyDescent="0.35">
      <c r="A230" s="483"/>
      <c r="B230" s="762" t="s">
        <v>1915</v>
      </c>
      <c r="C230" s="664" t="s">
        <v>50</v>
      </c>
      <c r="D230" s="664"/>
      <c r="E230" s="664"/>
      <c r="F230" s="664"/>
      <c r="G230" s="664"/>
      <c r="H230" s="664"/>
      <c r="I230" s="664"/>
      <c r="J230" s="664"/>
      <c r="K230" s="664"/>
      <c r="L230" s="666"/>
    </row>
    <row r="231" spans="1:12" hidden="1" outlineLevel="1" x14ac:dyDescent="0.35">
      <c r="A231" s="483"/>
      <c r="B231" s="762" t="s">
        <v>1915</v>
      </c>
      <c r="C231" s="664" t="s">
        <v>51</v>
      </c>
      <c r="D231" s="664"/>
      <c r="E231" s="664"/>
      <c r="F231" s="664"/>
      <c r="G231" s="664"/>
      <c r="H231" s="664"/>
      <c r="I231" s="664"/>
      <c r="J231" s="664"/>
      <c r="K231" s="664"/>
      <c r="L231" s="666"/>
    </row>
    <row r="232" spans="1:12" hidden="1" outlineLevel="1" x14ac:dyDescent="0.35">
      <c r="A232" s="483"/>
      <c r="B232" s="762" t="s">
        <v>1915</v>
      </c>
      <c r="C232" s="664" t="s">
        <v>52</v>
      </c>
      <c r="D232" s="664"/>
      <c r="E232" s="664"/>
      <c r="F232" s="664"/>
      <c r="G232" s="664"/>
      <c r="H232" s="664"/>
      <c r="I232" s="664"/>
      <c r="J232" s="664"/>
      <c r="K232" s="664"/>
      <c r="L232" s="666"/>
    </row>
    <row r="233" spans="1:12" hidden="1" outlineLevel="1" x14ac:dyDescent="0.35">
      <c r="A233" s="483"/>
      <c r="B233" s="762" t="s">
        <v>1915</v>
      </c>
      <c r="C233" s="664" t="s">
        <v>53</v>
      </c>
      <c r="D233" s="664"/>
      <c r="E233" s="664"/>
      <c r="F233" s="664"/>
      <c r="G233" s="664"/>
      <c r="H233" s="664"/>
      <c r="I233" s="664"/>
      <c r="J233" s="664"/>
      <c r="K233" s="664"/>
      <c r="L233" s="666"/>
    </row>
    <row r="234" spans="1:12" hidden="1" outlineLevel="1" x14ac:dyDescent="0.35">
      <c r="A234" s="483"/>
      <c r="B234" s="762" t="s">
        <v>1915</v>
      </c>
      <c r="C234" s="664" t="s">
        <v>54</v>
      </c>
      <c r="D234" s="664"/>
      <c r="E234" s="664"/>
      <c r="F234" s="664"/>
      <c r="G234" s="664"/>
      <c r="H234" s="664"/>
      <c r="I234" s="664"/>
      <c r="J234" s="664"/>
      <c r="K234" s="664"/>
      <c r="L234" s="666"/>
    </row>
    <row r="235" spans="1:12" hidden="1" outlineLevel="1" x14ac:dyDescent="0.35">
      <c r="A235" s="483"/>
      <c r="B235" s="762" t="s">
        <v>1915</v>
      </c>
      <c r="C235" s="664" t="s">
        <v>55</v>
      </c>
      <c r="D235" s="664"/>
      <c r="E235" s="664"/>
      <c r="F235" s="664"/>
      <c r="G235" s="664"/>
      <c r="H235" s="664"/>
      <c r="I235" s="664"/>
      <c r="J235" s="664"/>
      <c r="K235" s="664"/>
      <c r="L235" s="666"/>
    </row>
    <row r="236" spans="1:12" hidden="1" outlineLevel="1" x14ac:dyDescent="0.35">
      <c r="A236" s="483"/>
      <c r="B236" s="762" t="s">
        <v>1915</v>
      </c>
      <c r="C236" s="664" t="s">
        <v>1087</v>
      </c>
      <c r="D236" s="664"/>
      <c r="E236" s="664"/>
      <c r="F236" s="664"/>
      <c r="G236" s="664"/>
      <c r="H236" s="664"/>
      <c r="I236" s="664"/>
      <c r="J236" s="664"/>
      <c r="K236" s="664"/>
      <c r="L236" s="666"/>
    </row>
    <row r="237" spans="1:12" hidden="1" outlineLevel="1" x14ac:dyDescent="0.35">
      <c r="A237" s="483"/>
      <c r="B237" s="762" t="s">
        <v>1915</v>
      </c>
      <c r="C237" s="664" t="s">
        <v>1155</v>
      </c>
      <c r="D237" s="664"/>
      <c r="E237" s="664"/>
      <c r="F237" s="664"/>
      <c r="G237" s="664"/>
      <c r="H237" s="664"/>
      <c r="I237" s="664"/>
      <c r="J237" s="664"/>
      <c r="K237" s="664"/>
      <c r="L237" s="666"/>
    </row>
    <row r="238" spans="1:12" hidden="1" outlineLevel="1" x14ac:dyDescent="0.35">
      <c r="A238" s="483"/>
      <c r="B238" s="762" t="s">
        <v>1915</v>
      </c>
      <c r="C238" s="664" t="s">
        <v>1076</v>
      </c>
      <c r="D238" s="664"/>
      <c r="E238" s="664"/>
      <c r="F238" s="664"/>
      <c r="G238" s="664"/>
      <c r="H238" s="664"/>
      <c r="I238" s="664"/>
      <c r="J238" s="664"/>
      <c r="K238" s="664"/>
      <c r="L238" s="666"/>
    </row>
    <row r="239" spans="1:12" ht="15" hidden="1" outlineLevel="1" thickBot="1" x14ac:dyDescent="0.4">
      <c r="A239" s="483"/>
      <c r="B239" s="761"/>
      <c r="C239" s="670"/>
      <c r="D239" s="670"/>
      <c r="E239" s="670"/>
      <c r="F239" s="670"/>
      <c r="G239" s="670"/>
      <c r="H239" s="670"/>
      <c r="I239" s="670"/>
      <c r="J239" s="670"/>
      <c r="K239" s="670"/>
      <c r="L239" s="711"/>
    </row>
    <row r="240" spans="1:12" ht="15.5" collapsed="1" thickTop="1" thickBot="1" x14ac:dyDescent="0.4">
      <c r="B240" s="2"/>
    </row>
    <row r="241" spans="1:19" ht="23" thickBot="1" x14ac:dyDescent="0.4">
      <c r="B241" s="524"/>
      <c r="C241" s="525" t="s">
        <v>56</v>
      </c>
      <c r="D241" s="525"/>
      <c r="E241" s="525"/>
      <c r="F241" s="525"/>
      <c r="G241" s="525"/>
      <c r="H241" s="525"/>
      <c r="I241" s="525"/>
      <c r="J241" s="525"/>
      <c r="K241" s="527"/>
      <c r="L241" s="526"/>
    </row>
    <row r="242" spans="1:19" s="2" customFormat="1" ht="15.5" hidden="1" outlineLevel="1" thickTop="1" thickBot="1" x14ac:dyDescent="0.4">
      <c r="B242" s="721"/>
      <c r="C242" s="719" t="s">
        <v>0</v>
      </c>
      <c r="D242" s="719"/>
      <c r="E242" s="719"/>
      <c r="F242" s="719" t="s">
        <v>1816</v>
      </c>
      <c r="G242" s="719" t="s">
        <v>1675</v>
      </c>
      <c r="H242" s="719"/>
      <c r="I242" s="719"/>
      <c r="J242" s="719"/>
      <c r="K242" s="719"/>
      <c r="L242" s="720"/>
      <c r="M242" s="385"/>
      <c r="S242" s="783"/>
    </row>
    <row r="243" spans="1:19" ht="15" hidden="1" outlineLevel="1" thickTop="1" x14ac:dyDescent="0.35">
      <c r="A243" s="483"/>
      <c r="B243" s="762" t="s">
        <v>1916</v>
      </c>
      <c r="C243" s="757" t="s">
        <v>57</v>
      </c>
      <c r="D243" s="664"/>
      <c r="E243" s="664"/>
      <c r="F243" s="665" t="s">
        <v>1528</v>
      </c>
      <c r="G243" s="664"/>
      <c r="H243" s="664"/>
      <c r="I243" s="664"/>
      <c r="J243" s="727"/>
      <c r="K243" s="664"/>
      <c r="L243" s="666"/>
    </row>
    <row r="244" spans="1:19" hidden="1" outlineLevel="1" x14ac:dyDescent="0.35">
      <c r="A244" s="483"/>
      <c r="B244" s="762" t="s">
        <v>1916</v>
      </c>
      <c r="C244" s="664" t="s">
        <v>58</v>
      </c>
      <c r="D244" s="664"/>
      <c r="E244" s="664"/>
      <c r="F244" s="665" t="s">
        <v>745</v>
      </c>
      <c r="G244" s="664"/>
      <c r="H244" s="664"/>
      <c r="I244" s="664"/>
      <c r="J244" s="727"/>
      <c r="K244" s="664"/>
      <c r="L244" s="666"/>
    </row>
    <row r="245" spans="1:19" hidden="1" outlineLevel="1" x14ac:dyDescent="0.35">
      <c r="A245" s="483"/>
      <c r="B245" s="762" t="s">
        <v>1916</v>
      </c>
      <c r="C245" s="664" t="s">
        <v>59</v>
      </c>
      <c r="D245" s="664"/>
      <c r="E245" s="664"/>
      <c r="F245" s="665" t="s">
        <v>745</v>
      </c>
      <c r="G245" s="664"/>
      <c r="H245" s="664"/>
      <c r="I245" s="664"/>
      <c r="J245" s="727"/>
      <c r="K245" s="664"/>
      <c r="L245" s="666"/>
    </row>
    <row r="246" spans="1:19" hidden="1" outlineLevel="1" x14ac:dyDescent="0.35">
      <c r="A246" s="483"/>
      <c r="B246" s="762" t="s">
        <v>1916</v>
      </c>
      <c r="C246" s="664" t="s">
        <v>60</v>
      </c>
      <c r="D246" s="664"/>
      <c r="E246" s="664"/>
      <c r="F246" s="665" t="s">
        <v>745</v>
      </c>
      <c r="G246" s="664"/>
      <c r="H246" s="664"/>
      <c r="I246" s="664"/>
      <c r="J246" s="664"/>
      <c r="K246" s="664"/>
      <c r="L246" s="666"/>
    </row>
    <row r="247" spans="1:19" hidden="1" outlineLevel="1" x14ac:dyDescent="0.35">
      <c r="A247" s="483"/>
      <c r="B247" s="762" t="s">
        <v>1916</v>
      </c>
      <c r="C247" s="664" t="s">
        <v>61</v>
      </c>
      <c r="D247" s="664"/>
      <c r="E247" s="664"/>
      <c r="F247" s="665" t="s">
        <v>745</v>
      </c>
      <c r="G247" s="664"/>
      <c r="H247" s="664"/>
      <c r="I247" s="664"/>
      <c r="J247" s="664"/>
      <c r="K247" s="664"/>
      <c r="L247" s="666"/>
    </row>
    <row r="248" spans="1:19" hidden="1" outlineLevel="1" x14ac:dyDescent="0.35">
      <c r="A248" s="483"/>
      <c r="B248" s="762" t="s">
        <v>1916</v>
      </c>
      <c r="C248" s="664" t="s">
        <v>62</v>
      </c>
      <c r="D248" s="664"/>
      <c r="E248" s="664"/>
      <c r="F248" s="665" t="s">
        <v>745</v>
      </c>
      <c r="G248" s="664"/>
      <c r="H248" s="664"/>
      <c r="I248" s="664"/>
      <c r="J248" s="664"/>
      <c r="K248" s="664"/>
      <c r="L248" s="666"/>
    </row>
    <row r="249" spans="1:19" hidden="1" outlineLevel="1" x14ac:dyDescent="0.35">
      <c r="A249" s="483"/>
      <c r="B249" s="762" t="s">
        <v>1916</v>
      </c>
      <c r="C249" s="664" t="s">
        <v>63</v>
      </c>
      <c r="D249" s="664"/>
      <c r="E249" s="664"/>
      <c r="F249" s="665" t="s">
        <v>745</v>
      </c>
      <c r="G249" s="664"/>
      <c r="H249" s="664"/>
      <c r="I249" s="664"/>
      <c r="J249" s="664"/>
      <c r="K249" s="664"/>
      <c r="L249" s="666"/>
    </row>
    <row r="250" spans="1:19" hidden="1" outlineLevel="1" x14ac:dyDescent="0.35">
      <c r="A250" s="483"/>
      <c r="B250" s="762" t="s">
        <v>1916</v>
      </c>
      <c r="C250" s="664" t="s">
        <v>64</v>
      </c>
      <c r="D250" s="664"/>
      <c r="E250" s="664"/>
      <c r="F250" s="665" t="s">
        <v>745</v>
      </c>
      <c r="G250" s="664"/>
      <c r="H250" s="664"/>
      <c r="I250" s="664"/>
      <c r="J250" s="664"/>
      <c r="K250" s="664"/>
      <c r="L250" s="666"/>
    </row>
    <row r="251" spans="1:19" hidden="1" outlineLevel="1" x14ac:dyDescent="0.35">
      <c r="A251" s="483"/>
      <c r="B251" s="762" t="s">
        <v>1916</v>
      </c>
      <c r="C251" s="664" t="s">
        <v>65</v>
      </c>
      <c r="D251" s="664"/>
      <c r="E251" s="664"/>
      <c r="F251" s="665" t="s">
        <v>745</v>
      </c>
      <c r="G251" s="664"/>
      <c r="H251" s="664"/>
      <c r="I251" s="664"/>
      <c r="J251" s="664"/>
      <c r="K251" s="664"/>
      <c r="L251" s="666"/>
    </row>
    <row r="252" spans="1:19" hidden="1" outlineLevel="1" x14ac:dyDescent="0.35">
      <c r="A252" s="483"/>
      <c r="B252" s="762" t="s">
        <v>1916</v>
      </c>
      <c r="C252" s="664" t="s">
        <v>66</v>
      </c>
      <c r="D252" s="664"/>
      <c r="E252" s="664"/>
      <c r="F252" s="665" t="s">
        <v>745</v>
      </c>
      <c r="G252" s="664"/>
      <c r="H252" s="664"/>
      <c r="I252" s="664"/>
      <c r="J252" s="664"/>
      <c r="K252" s="664"/>
      <c r="L252" s="666"/>
    </row>
    <row r="253" spans="1:19" hidden="1" outlineLevel="1" x14ac:dyDescent="0.35">
      <c r="A253" s="483"/>
      <c r="B253" s="762" t="s">
        <v>1916</v>
      </c>
      <c r="C253" s="664" t="s">
        <v>67</v>
      </c>
      <c r="D253" s="664"/>
      <c r="E253" s="664"/>
      <c r="F253" s="665" t="s">
        <v>745</v>
      </c>
      <c r="G253" s="664"/>
      <c r="H253" s="664"/>
      <c r="I253" s="664"/>
      <c r="J253" s="664"/>
      <c r="K253" s="664"/>
      <c r="L253" s="666"/>
    </row>
    <row r="254" spans="1:19" hidden="1" outlineLevel="1" x14ac:dyDescent="0.35">
      <c r="A254" s="483"/>
      <c r="B254" s="762" t="s">
        <v>1916</v>
      </c>
      <c r="C254" s="664" t="s">
        <v>68</v>
      </c>
      <c r="D254" s="664"/>
      <c r="E254" s="664"/>
      <c r="F254" s="665" t="s">
        <v>745</v>
      </c>
      <c r="G254" s="664"/>
      <c r="H254" s="664"/>
      <c r="I254" s="664"/>
      <c r="J254" s="664"/>
      <c r="K254" s="664"/>
      <c r="L254" s="666"/>
    </row>
    <row r="255" spans="1:19" hidden="1" outlineLevel="1" x14ac:dyDescent="0.35">
      <c r="A255" s="483"/>
      <c r="B255" s="762" t="s">
        <v>1916</v>
      </c>
      <c r="C255" s="664" t="s">
        <v>69</v>
      </c>
      <c r="D255" s="664"/>
      <c r="E255" s="664"/>
      <c r="F255" s="665" t="s">
        <v>745</v>
      </c>
      <c r="G255" s="664"/>
      <c r="H255" s="664"/>
      <c r="I255" s="664"/>
      <c r="J255" s="664"/>
      <c r="K255" s="664"/>
      <c r="L255" s="666"/>
    </row>
    <row r="256" spans="1:19" hidden="1" outlineLevel="1" x14ac:dyDescent="0.35">
      <c r="A256" s="483"/>
      <c r="B256" s="762" t="s">
        <v>1916</v>
      </c>
      <c r="C256" s="664" t="s">
        <v>70</v>
      </c>
      <c r="D256" s="664"/>
      <c r="E256" s="664"/>
      <c r="F256" s="665" t="s">
        <v>745</v>
      </c>
      <c r="G256" s="664"/>
      <c r="H256" s="664"/>
      <c r="I256" s="664"/>
      <c r="J256" s="664"/>
      <c r="K256" s="664"/>
      <c r="L256" s="666"/>
    </row>
    <row r="257" spans="1:19" hidden="1" outlineLevel="1" x14ac:dyDescent="0.35">
      <c r="A257" s="483"/>
      <c r="B257" s="762" t="s">
        <v>1916</v>
      </c>
      <c r="C257" s="664" t="s">
        <v>71</v>
      </c>
      <c r="D257" s="664"/>
      <c r="E257" s="664"/>
      <c r="F257" s="665" t="s">
        <v>1528</v>
      </c>
      <c r="G257" s="664"/>
      <c r="H257" s="664"/>
      <c r="I257" s="664"/>
      <c r="J257" s="664"/>
      <c r="K257" s="664"/>
      <c r="L257" s="666"/>
    </row>
    <row r="258" spans="1:19" hidden="1" outlineLevel="1" x14ac:dyDescent="0.35">
      <c r="A258" s="483"/>
      <c r="B258" s="762" t="s">
        <v>1916</v>
      </c>
      <c r="C258" s="664" t="s">
        <v>72</v>
      </c>
      <c r="D258" s="664"/>
      <c r="E258" s="664"/>
      <c r="F258" s="665" t="s">
        <v>1528</v>
      </c>
      <c r="G258" s="664"/>
      <c r="H258" s="664"/>
      <c r="I258" s="664"/>
      <c r="J258" s="664"/>
      <c r="K258" s="664"/>
      <c r="L258" s="666"/>
    </row>
    <row r="259" spans="1:19" hidden="1" outlineLevel="1" x14ac:dyDescent="0.35">
      <c r="A259" s="483"/>
      <c r="B259" s="762" t="s">
        <v>1916</v>
      </c>
      <c r="C259" s="664" t="s">
        <v>73</v>
      </c>
      <c r="D259" s="664"/>
      <c r="E259" s="664"/>
      <c r="F259" s="665" t="s">
        <v>1528</v>
      </c>
      <c r="G259" s="664"/>
      <c r="H259" s="664"/>
      <c r="I259" s="664"/>
      <c r="J259" s="664"/>
      <c r="K259" s="664"/>
      <c r="L259" s="666"/>
    </row>
    <row r="260" spans="1:19" hidden="1" outlineLevel="1" x14ac:dyDescent="0.35">
      <c r="A260" s="483"/>
      <c r="B260" s="762" t="s">
        <v>1916</v>
      </c>
      <c r="C260" s="664" t="s">
        <v>74</v>
      </c>
      <c r="D260" s="664"/>
      <c r="E260" s="664"/>
      <c r="F260" s="665" t="s">
        <v>1528</v>
      </c>
      <c r="G260" s="664"/>
      <c r="H260" s="664"/>
      <c r="I260" s="664"/>
      <c r="J260" s="664"/>
      <c r="K260" s="664"/>
      <c r="L260" s="666"/>
    </row>
    <row r="261" spans="1:19" hidden="1" outlineLevel="1" x14ac:dyDescent="0.35">
      <c r="A261" s="483"/>
      <c r="B261" s="762" t="s">
        <v>1916</v>
      </c>
      <c r="C261" s="664" t="s">
        <v>75</v>
      </c>
      <c r="D261" s="664"/>
      <c r="E261" s="664"/>
      <c r="F261" s="665" t="s">
        <v>1528</v>
      </c>
      <c r="G261" s="664"/>
      <c r="H261" s="664"/>
      <c r="I261" s="664"/>
      <c r="J261" s="664"/>
      <c r="K261" s="664"/>
      <c r="L261" s="666"/>
    </row>
    <row r="262" spans="1:19" hidden="1" outlineLevel="1" x14ac:dyDescent="0.35">
      <c r="A262" s="483"/>
      <c r="B262" s="762" t="s">
        <v>1916</v>
      </c>
      <c r="C262" s="664" t="s">
        <v>76</v>
      </c>
      <c r="D262" s="664"/>
      <c r="E262" s="664"/>
      <c r="F262" s="665" t="s">
        <v>1528</v>
      </c>
      <c r="G262" s="664"/>
      <c r="H262" s="664"/>
      <c r="I262" s="664"/>
      <c r="J262" s="664"/>
      <c r="K262" s="664"/>
      <c r="L262" s="666"/>
    </row>
    <row r="263" spans="1:19" hidden="1" outlineLevel="1" x14ac:dyDescent="0.35">
      <c r="A263" s="483"/>
      <c r="B263" s="762" t="s">
        <v>1916</v>
      </c>
      <c r="C263" s="664" t="s">
        <v>77</v>
      </c>
      <c r="D263" s="664"/>
      <c r="E263" s="664"/>
      <c r="F263" s="665" t="s">
        <v>1528</v>
      </c>
      <c r="G263" s="664"/>
      <c r="H263" s="664"/>
      <c r="I263" s="664"/>
      <c r="J263" s="664"/>
      <c r="K263" s="664"/>
      <c r="L263" s="666"/>
    </row>
    <row r="264" spans="1:19" ht="15" hidden="1" outlineLevel="1" thickBot="1" x14ac:dyDescent="0.4">
      <c r="A264" s="483"/>
      <c r="B264" s="761"/>
      <c r="C264" s="670"/>
      <c r="D264" s="670"/>
      <c r="E264" s="670"/>
      <c r="F264" s="671"/>
      <c r="G264" s="670"/>
      <c r="H264" s="670"/>
      <c r="I264" s="670"/>
      <c r="J264" s="670"/>
      <c r="K264" s="670"/>
      <c r="L264" s="711"/>
    </row>
    <row r="265" spans="1:19" ht="15.5" collapsed="1" thickTop="1" thickBot="1" x14ac:dyDescent="0.4">
      <c r="B265" s="2"/>
    </row>
    <row r="266" spans="1:19" ht="23" thickBot="1" x14ac:dyDescent="0.4">
      <c r="B266" s="524"/>
      <c r="C266" s="525" t="s">
        <v>78</v>
      </c>
      <c r="D266" s="525"/>
      <c r="E266" s="525"/>
      <c r="F266" s="525"/>
      <c r="G266" s="525"/>
      <c r="H266" s="525"/>
      <c r="I266" s="525"/>
      <c r="J266" s="525"/>
      <c r="K266" s="527"/>
      <c r="L266" s="526"/>
    </row>
    <row r="267" spans="1:19" s="2" customFormat="1" ht="15.5" hidden="1" outlineLevel="1" thickTop="1" thickBot="1" x14ac:dyDescent="0.4">
      <c r="B267" s="721"/>
      <c r="C267" s="719" t="s">
        <v>1034</v>
      </c>
      <c r="D267" s="719" t="s">
        <v>2154</v>
      </c>
      <c r="E267" s="719"/>
      <c r="F267" s="719"/>
      <c r="G267" s="719"/>
      <c r="H267" s="719"/>
      <c r="I267" s="719"/>
      <c r="J267" s="719" t="s">
        <v>2155</v>
      </c>
      <c r="K267" s="719"/>
      <c r="L267" s="720"/>
      <c r="M267" s="385"/>
      <c r="P267" s="1"/>
      <c r="Q267" s="1"/>
      <c r="R267" s="1"/>
      <c r="S267" s="779"/>
    </row>
    <row r="268" spans="1:19" ht="15" hidden="1" outlineLevel="1" thickTop="1" x14ac:dyDescent="0.35">
      <c r="A268" s="483"/>
      <c r="B268" s="759" t="s">
        <v>1920</v>
      </c>
      <c r="C268" s="758">
        <v>302</v>
      </c>
      <c r="D268" s="664" t="s">
        <v>2314</v>
      </c>
      <c r="E268" s="664"/>
      <c r="F268" s="665"/>
      <c r="G268" s="664"/>
      <c r="H268" s="664"/>
      <c r="I268" s="664"/>
      <c r="J268" s="727">
        <v>0</v>
      </c>
      <c r="K268" s="664"/>
      <c r="L268" s="666"/>
    </row>
    <row r="269" spans="1:19" hidden="1" outlineLevel="1" x14ac:dyDescent="0.35">
      <c r="A269" s="483"/>
      <c r="B269" s="760" t="s">
        <v>1920</v>
      </c>
      <c r="C269" s="731">
        <v>303</v>
      </c>
      <c r="D269" s="730" t="s">
        <v>1688</v>
      </c>
      <c r="E269" s="730"/>
      <c r="F269" s="731"/>
      <c r="G269" s="730"/>
      <c r="H269" s="730"/>
      <c r="I269" s="730"/>
      <c r="J269" s="732">
        <v>0.1</v>
      </c>
      <c r="K269" s="730"/>
      <c r="L269" s="733"/>
    </row>
    <row r="270" spans="1:19" hidden="1" outlineLevel="1" x14ac:dyDescent="0.35">
      <c r="A270" s="483"/>
      <c r="B270" s="760" t="s">
        <v>1920</v>
      </c>
      <c r="C270" s="731" t="s">
        <v>2209</v>
      </c>
      <c r="D270" s="730" t="s">
        <v>2211</v>
      </c>
      <c r="E270" s="730"/>
      <c r="F270" s="731"/>
      <c r="G270" s="730"/>
      <c r="H270" s="730"/>
      <c r="I270" s="730"/>
      <c r="J270" s="732">
        <v>0.03</v>
      </c>
      <c r="K270" s="730"/>
      <c r="L270" s="733"/>
    </row>
    <row r="271" spans="1:19" hidden="1" outlineLevel="1" x14ac:dyDescent="0.35">
      <c r="A271" s="483"/>
      <c r="B271" s="760" t="s">
        <v>1920</v>
      </c>
      <c r="C271" s="731">
        <v>304</v>
      </c>
      <c r="D271" s="730" t="s">
        <v>1689</v>
      </c>
      <c r="E271" s="730"/>
      <c r="F271" s="731"/>
      <c r="G271" s="730"/>
      <c r="H271" s="730"/>
      <c r="I271" s="730"/>
      <c r="J271" s="732">
        <v>0.1</v>
      </c>
      <c r="K271" s="730"/>
      <c r="L271" s="733"/>
    </row>
    <row r="272" spans="1:19" hidden="1" outlineLevel="1" x14ac:dyDescent="0.35">
      <c r="A272" s="483"/>
      <c r="B272" s="760" t="s">
        <v>1920</v>
      </c>
      <c r="C272" s="731" t="s">
        <v>82</v>
      </c>
      <c r="D272" s="730" t="s">
        <v>1690</v>
      </c>
      <c r="E272" s="730"/>
      <c r="F272" s="731"/>
      <c r="G272" s="730"/>
      <c r="H272" s="730"/>
      <c r="I272" s="730"/>
      <c r="J272" s="732">
        <v>0.1</v>
      </c>
      <c r="K272" s="730"/>
      <c r="L272" s="733"/>
    </row>
    <row r="273" spans="1:12" hidden="1" outlineLevel="1" x14ac:dyDescent="0.35">
      <c r="A273" s="483"/>
      <c r="B273" s="760" t="s">
        <v>1920</v>
      </c>
      <c r="C273" s="731" t="s">
        <v>84</v>
      </c>
      <c r="D273" s="730" t="s">
        <v>1691</v>
      </c>
      <c r="E273" s="730"/>
      <c r="F273" s="731"/>
      <c r="G273" s="730"/>
      <c r="H273" s="730"/>
      <c r="I273" s="730"/>
      <c r="J273" s="732">
        <v>0.1</v>
      </c>
      <c r="K273" s="730"/>
      <c r="L273" s="733"/>
    </row>
    <row r="274" spans="1:12" hidden="1" outlineLevel="1" x14ac:dyDescent="0.35">
      <c r="A274" s="483"/>
      <c r="B274" s="760" t="s">
        <v>1920</v>
      </c>
      <c r="C274" s="731" t="s">
        <v>86</v>
      </c>
      <c r="D274" s="730" t="s">
        <v>1692</v>
      </c>
      <c r="E274" s="730"/>
      <c r="F274" s="731"/>
      <c r="G274" s="730"/>
      <c r="H274" s="730"/>
      <c r="I274" s="730"/>
      <c r="J274" s="732">
        <v>0.08</v>
      </c>
      <c r="K274" s="730"/>
      <c r="L274" s="733"/>
    </row>
    <row r="275" spans="1:12" hidden="1" outlineLevel="1" x14ac:dyDescent="0.35">
      <c r="A275" s="483"/>
      <c r="B275" s="760" t="s">
        <v>1920</v>
      </c>
      <c r="C275" s="731" t="s">
        <v>88</v>
      </c>
      <c r="D275" s="730" t="s">
        <v>1693</v>
      </c>
      <c r="E275" s="730"/>
      <c r="F275" s="731"/>
      <c r="G275" s="730"/>
      <c r="H275" s="730"/>
      <c r="I275" s="730"/>
      <c r="J275" s="732">
        <v>0.08</v>
      </c>
      <c r="K275" s="730"/>
      <c r="L275" s="733"/>
    </row>
    <row r="276" spans="1:12" hidden="1" outlineLevel="1" x14ac:dyDescent="0.35">
      <c r="A276" s="483"/>
      <c r="B276" s="760" t="s">
        <v>1920</v>
      </c>
      <c r="C276" s="731" t="s">
        <v>90</v>
      </c>
      <c r="D276" s="730" t="s">
        <v>1694</v>
      </c>
      <c r="E276" s="730"/>
      <c r="F276" s="731"/>
      <c r="G276" s="730"/>
      <c r="H276" s="730"/>
      <c r="I276" s="730"/>
      <c r="J276" s="732">
        <v>0.1</v>
      </c>
      <c r="K276" s="730"/>
      <c r="L276" s="733"/>
    </row>
    <row r="277" spans="1:12" hidden="1" outlineLevel="1" x14ac:dyDescent="0.35">
      <c r="A277" s="483"/>
      <c r="B277" s="760" t="s">
        <v>1920</v>
      </c>
      <c r="C277" s="731">
        <v>307</v>
      </c>
      <c r="D277" s="730" t="s">
        <v>1695</v>
      </c>
      <c r="E277" s="730"/>
      <c r="F277" s="731"/>
      <c r="G277" s="730"/>
      <c r="H277" s="730"/>
      <c r="I277" s="730"/>
      <c r="J277" s="732">
        <v>0.02</v>
      </c>
      <c r="K277" s="730"/>
      <c r="L277" s="733"/>
    </row>
    <row r="278" spans="1:12" hidden="1" outlineLevel="1" x14ac:dyDescent="0.35">
      <c r="A278" s="483"/>
      <c r="B278" s="760" t="s">
        <v>1920</v>
      </c>
      <c r="C278" s="731">
        <v>308</v>
      </c>
      <c r="D278" s="730" t="s">
        <v>2212</v>
      </c>
      <c r="E278" s="730"/>
      <c r="F278" s="731"/>
      <c r="G278" s="730"/>
      <c r="H278" s="730"/>
      <c r="I278" s="730"/>
      <c r="J278" s="732">
        <v>0.1</v>
      </c>
      <c r="K278" s="730"/>
      <c r="L278" s="733"/>
    </row>
    <row r="279" spans="1:12" hidden="1" outlineLevel="1" x14ac:dyDescent="0.35">
      <c r="A279" s="483"/>
      <c r="B279" s="760" t="s">
        <v>1920</v>
      </c>
      <c r="C279" s="731">
        <v>309</v>
      </c>
      <c r="D279" s="730" t="s">
        <v>1696</v>
      </c>
      <c r="E279" s="730"/>
      <c r="F279" s="731"/>
      <c r="G279" s="730"/>
      <c r="H279" s="730"/>
      <c r="I279" s="730"/>
      <c r="J279" s="732">
        <v>2.75E-2</v>
      </c>
      <c r="K279" s="730"/>
      <c r="L279" s="733"/>
    </row>
    <row r="280" spans="1:12" hidden="1" outlineLevel="1" x14ac:dyDescent="0.35">
      <c r="A280" s="483"/>
      <c r="B280" s="760" t="s">
        <v>1920</v>
      </c>
      <c r="C280" s="731">
        <v>310</v>
      </c>
      <c r="D280" s="730" t="s">
        <v>1697</v>
      </c>
      <c r="E280" s="730"/>
      <c r="F280" s="731"/>
      <c r="G280" s="730"/>
      <c r="H280" s="730"/>
      <c r="I280" s="730"/>
      <c r="J280" s="732">
        <v>0.01</v>
      </c>
      <c r="K280" s="730"/>
      <c r="L280" s="733"/>
    </row>
    <row r="281" spans="1:12" hidden="1" outlineLevel="1" x14ac:dyDescent="0.35">
      <c r="A281" s="483"/>
      <c r="B281" s="760" t="s">
        <v>1920</v>
      </c>
      <c r="C281" s="731">
        <v>311</v>
      </c>
      <c r="D281" s="730" t="s">
        <v>1698</v>
      </c>
      <c r="E281" s="730"/>
      <c r="F281" s="731"/>
      <c r="G281" s="730"/>
      <c r="H281" s="730"/>
      <c r="I281" s="730"/>
      <c r="J281" s="732">
        <v>0.02</v>
      </c>
      <c r="K281" s="730"/>
      <c r="L281" s="733"/>
    </row>
    <row r="282" spans="1:12" hidden="1" outlineLevel="1" x14ac:dyDescent="0.35">
      <c r="A282" s="483"/>
      <c r="B282" s="760" t="s">
        <v>1920</v>
      </c>
      <c r="C282" s="731">
        <v>312</v>
      </c>
      <c r="D282" s="730" t="s">
        <v>1699</v>
      </c>
      <c r="E282" s="730"/>
      <c r="F282" s="731"/>
      <c r="G282" s="730"/>
      <c r="H282" s="730"/>
      <c r="I282" s="730"/>
      <c r="J282" s="732">
        <v>1.7500000000000002E-2</v>
      </c>
      <c r="K282" s="730"/>
      <c r="L282" s="733"/>
    </row>
    <row r="283" spans="1:12" hidden="1" outlineLevel="1" x14ac:dyDescent="0.35">
      <c r="A283" s="483"/>
      <c r="B283" s="760" t="s">
        <v>1920</v>
      </c>
      <c r="C283" s="731" t="s">
        <v>96</v>
      </c>
      <c r="D283" s="730" t="s">
        <v>2213</v>
      </c>
      <c r="E283" s="730"/>
      <c r="F283" s="731"/>
      <c r="G283" s="730"/>
      <c r="H283" s="730"/>
      <c r="I283" s="730"/>
      <c r="J283" s="732">
        <v>0.01</v>
      </c>
      <c r="K283" s="730"/>
      <c r="L283" s="733"/>
    </row>
    <row r="284" spans="1:12" hidden="1" outlineLevel="1" x14ac:dyDescent="0.35">
      <c r="A284" s="483"/>
      <c r="B284" s="760" t="s">
        <v>1920</v>
      </c>
      <c r="C284" s="731" t="s">
        <v>1041</v>
      </c>
      <c r="D284" s="730" t="s">
        <v>1700</v>
      </c>
      <c r="E284" s="730"/>
      <c r="F284" s="731"/>
      <c r="G284" s="730"/>
      <c r="H284" s="730"/>
      <c r="I284" s="730"/>
      <c r="J284" s="732">
        <v>0.01</v>
      </c>
      <c r="K284" s="730"/>
      <c r="L284" s="733"/>
    </row>
    <row r="285" spans="1:12" hidden="1" outlineLevel="1" x14ac:dyDescent="0.35">
      <c r="A285" s="483"/>
      <c r="B285" s="760" t="s">
        <v>1920</v>
      </c>
      <c r="C285" s="731" t="s">
        <v>2214</v>
      </c>
      <c r="D285" s="730" t="s">
        <v>2215</v>
      </c>
      <c r="E285" s="730"/>
      <c r="F285" s="731"/>
      <c r="G285" s="730"/>
      <c r="H285" s="730"/>
      <c r="I285" s="730"/>
      <c r="J285" s="732">
        <v>1.7500000000000002E-2</v>
      </c>
      <c r="K285" s="730"/>
      <c r="L285" s="733"/>
    </row>
    <row r="286" spans="1:12" hidden="1" outlineLevel="1" x14ac:dyDescent="0.35">
      <c r="A286" s="483"/>
      <c r="B286" s="760" t="s">
        <v>1920</v>
      </c>
      <c r="C286" s="731" t="s">
        <v>97</v>
      </c>
      <c r="D286" s="730" t="s">
        <v>2216</v>
      </c>
      <c r="E286" s="730"/>
      <c r="F286" s="731"/>
      <c r="G286" s="730"/>
      <c r="H286" s="730"/>
      <c r="I286" s="730"/>
      <c r="J286" s="732">
        <v>0.1</v>
      </c>
      <c r="K286" s="730"/>
      <c r="L286" s="733"/>
    </row>
    <row r="287" spans="1:12" hidden="1" outlineLevel="1" x14ac:dyDescent="0.35">
      <c r="A287" s="483"/>
      <c r="B287" s="760" t="s">
        <v>1920</v>
      </c>
      <c r="C287" s="731" t="s">
        <v>99</v>
      </c>
      <c r="D287" s="730" t="s">
        <v>2217</v>
      </c>
      <c r="E287" s="730"/>
      <c r="F287" s="731"/>
      <c r="G287" s="730"/>
      <c r="H287" s="730"/>
      <c r="I287" s="730"/>
      <c r="J287" s="732">
        <v>0.1</v>
      </c>
      <c r="K287" s="730"/>
      <c r="L287" s="733"/>
    </row>
    <row r="288" spans="1:12" hidden="1" outlineLevel="1" x14ac:dyDescent="0.35">
      <c r="A288" s="483"/>
      <c r="B288" s="760" t="s">
        <v>1920</v>
      </c>
      <c r="C288" s="731" t="s">
        <v>101</v>
      </c>
      <c r="D288" s="730" t="s">
        <v>2218</v>
      </c>
      <c r="E288" s="730"/>
      <c r="F288" s="731"/>
      <c r="G288" s="730"/>
      <c r="H288" s="730"/>
      <c r="I288" s="730"/>
      <c r="J288" s="732">
        <v>0.1</v>
      </c>
      <c r="K288" s="730"/>
      <c r="L288" s="733"/>
    </row>
    <row r="289" spans="1:12" hidden="1" outlineLevel="1" x14ac:dyDescent="0.35">
      <c r="A289" s="483"/>
      <c r="B289" s="760" t="s">
        <v>1920</v>
      </c>
      <c r="C289" s="731" t="s">
        <v>103</v>
      </c>
      <c r="D289" s="730" t="s">
        <v>2219</v>
      </c>
      <c r="E289" s="730"/>
      <c r="F289" s="731"/>
      <c r="G289" s="730"/>
      <c r="H289" s="730"/>
      <c r="I289" s="730"/>
      <c r="J289" s="732">
        <v>0.1</v>
      </c>
      <c r="K289" s="730"/>
      <c r="L289" s="733"/>
    </row>
    <row r="290" spans="1:12" hidden="1" outlineLevel="1" x14ac:dyDescent="0.35">
      <c r="A290" s="483"/>
      <c r="B290" s="760" t="s">
        <v>1920</v>
      </c>
      <c r="C290" s="731">
        <v>319</v>
      </c>
      <c r="D290" s="730" t="s">
        <v>1701</v>
      </c>
      <c r="E290" s="730"/>
      <c r="F290" s="731"/>
      <c r="G290" s="730"/>
      <c r="H290" s="730"/>
      <c r="I290" s="730"/>
      <c r="J290" s="732">
        <v>0.02</v>
      </c>
      <c r="K290" s="730"/>
      <c r="L290" s="733"/>
    </row>
    <row r="291" spans="1:12" hidden="1" outlineLevel="1" x14ac:dyDescent="0.35">
      <c r="A291" s="483"/>
      <c r="B291" s="760" t="s">
        <v>1920</v>
      </c>
      <c r="C291" s="731">
        <v>320</v>
      </c>
      <c r="D291" s="730" t="s">
        <v>1702</v>
      </c>
      <c r="E291" s="730"/>
      <c r="F291" s="731"/>
      <c r="G291" s="730"/>
      <c r="H291" s="730"/>
      <c r="I291" s="730"/>
      <c r="J291" s="732">
        <v>0.1</v>
      </c>
      <c r="K291" s="730"/>
      <c r="L291" s="733"/>
    </row>
    <row r="292" spans="1:12" hidden="1" outlineLevel="1" x14ac:dyDescent="0.35">
      <c r="A292" s="483"/>
      <c r="B292" s="760" t="s">
        <v>1920</v>
      </c>
      <c r="C292" s="731">
        <v>322</v>
      </c>
      <c r="D292" s="730" t="s">
        <v>1703</v>
      </c>
      <c r="E292" s="730"/>
      <c r="F292" s="731"/>
      <c r="G292" s="730"/>
      <c r="H292" s="730"/>
      <c r="I292" s="730"/>
      <c r="J292" s="732">
        <v>0.01</v>
      </c>
      <c r="K292" s="730"/>
      <c r="L292" s="733"/>
    </row>
    <row r="293" spans="1:12" hidden="1" outlineLevel="1" x14ac:dyDescent="0.35">
      <c r="A293" s="483"/>
      <c r="B293" s="760" t="s">
        <v>1920</v>
      </c>
      <c r="C293" s="731">
        <v>323</v>
      </c>
      <c r="D293" s="730" t="s">
        <v>1704</v>
      </c>
      <c r="E293" s="730"/>
      <c r="F293" s="731"/>
      <c r="G293" s="730"/>
      <c r="H293" s="730"/>
      <c r="I293" s="730"/>
      <c r="J293" s="732">
        <v>0.02</v>
      </c>
      <c r="K293" s="730"/>
      <c r="L293" s="733"/>
    </row>
    <row r="294" spans="1:12" hidden="1" outlineLevel="1" x14ac:dyDescent="0.35">
      <c r="A294" s="483"/>
      <c r="B294" s="760" t="s">
        <v>1920</v>
      </c>
      <c r="C294" s="731" t="s">
        <v>107</v>
      </c>
      <c r="D294" s="730" t="s">
        <v>1705</v>
      </c>
      <c r="E294" s="730"/>
      <c r="F294" s="731"/>
      <c r="G294" s="730"/>
      <c r="H294" s="730"/>
      <c r="I294" s="730"/>
      <c r="J294" s="732">
        <v>0.02</v>
      </c>
      <c r="K294" s="730"/>
      <c r="L294" s="733"/>
    </row>
    <row r="295" spans="1:12" hidden="1" outlineLevel="1" x14ac:dyDescent="0.35">
      <c r="A295" s="483"/>
      <c r="B295" s="760" t="s">
        <v>1920</v>
      </c>
      <c r="C295" s="731" t="s">
        <v>109</v>
      </c>
      <c r="D295" s="730" t="s">
        <v>1706</v>
      </c>
      <c r="E295" s="730"/>
      <c r="F295" s="731"/>
      <c r="G295" s="730"/>
      <c r="H295" s="730"/>
      <c r="I295" s="730"/>
      <c r="J295" s="732">
        <v>0.02</v>
      </c>
      <c r="K295" s="730"/>
      <c r="L295" s="733"/>
    </row>
    <row r="296" spans="1:12" hidden="1" outlineLevel="1" x14ac:dyDescent="0.35">
      <c r="A296" s="483"/>
      <c r="B296" s="760" t="s">
        <v>1920</v>
      </c>
      <c r="C296" s="731" t="s">
        <v>111</v>
      </c>
      <c r="D296" s="730" t="s">
        <v>1707</v>
      </c>
      <c r="E296" s="730"/>
      <c r="F296" s="731"/>
      <c r="G296" s="730"/>
      <c r="H296" s="730"/>
      <c r="I296" s="730"/>
      <c r="J296" s="732">
        <v>0.02</v>
      </c>
      <c r="K296" s="730"/>
      <c r="L296" s="733"/>
    </row>
    <row r="297" spans="1:12" hidden="1" outlineLevel="1" x14ac:dyDescent="0.35">
      <c r="A297" s="483"/>
      <c r="B297" s="760" t="s">
        <v>1920</v>
      </c>
      <c r="C297" s="731" t="s">
        <v>113</v>
      </c>
      <c r="D297" s="730" t="s">
        <v>1708</v>
      </c>
      <c r="E297" s="730"/>
      <c r="F297" s="731"/>
      <c r="G297" s="730"/>
      <c r="H297" s="730"/>
      <c r="I297" s="730"/>
      <c r="J297" s="732">
        <v>0</v>
      </c>
      <c r="K297" s="730"/>
      <c r="L297" s="733"/>
    </row>
    <row r="298" spans="1:12" hidden="1" outlineLevel="1" x14ac:dyDescent="0.35">
      <c r="A298" s="483"/>
      <c r="B298" s="760" t="s">
        <v>1920</v>
      </c>
      <c r="C298" s="731" t="s">
        <v>115</v>
      </c>
      <c r="D298" s="730" t="s">
        <v>1709</v>
      </c>
      <c r="E298" s="730"/>
      <c r="F298" s="731"/>
      <c r="G298" s="730"/>
      <c r="H298" s="730"/>
      <c r="I298" s="730"/>
      <c r="J298" s="732">
        <v>0.02</v>
      </c>
      <c r="K298" s="730"/>
      <c r="L298" s="733"/>
    </row>
    <row r="299" spans="1:12" hidden="1" outlineLevel="1" x14ac:dyDescent="0.35">
      <c r="A299" s="483"/>
      <c r="B299" s="760" t="s">
        <v>1920</v>
      </c>
      <c r="C299" s="731" t="s">
        <v>117</v>
      </c>
      <c r="D299" s="730" t="s">
        <v>1710</v>
      </c>
      <c r="E299" s="730"/>
      <c r="F299" s="731"/>
      <c r="G299" s="730"/>
      <c r="H299" s="730"/>
      <c r="I299" s="730"/>
      <c r="J299" s="732">
        <v>0.02</v>
      </c>
      <c r="K299" s="730"/>
      <c r="L299" s="733"/>
    </row>
    <row r="300" spans="1:12" hidden="1" outlineLevel="1" x14ac:dyDescent="0.35">
      <c r="A300" s="483"/>
      <c r="B300" s="760" t="s">
        <v>1920</v>
      </c>
      <c r="C300" s="731" t="s">
        <v>119</v>
      </c>
      <c r="D300" s="730" t="s">
        <v>1711</v>
      </c>
      <c r="E300" s="730"/>
      <c r="F300" s="731"/>
      <c r="G300" s="730"/>
      <c r="H300" s="730"/>
      <c r="I300" s="730"/>
      <c r="J300" s="732">
        <v>0.02</v>
      </c>
      <c r="K300" s="730"/>
      <c r="L300" s="733"/>
    </row>
    <row r="301" spans="1:12" hidden="1" outlineLevel="1" x14ac:dyDescent="0.35">
      <c r="A301" s="483"/>
      <c r="B301" s="760" t="s">
        <v>1920</v>
      </c>
      <c r="C301" s="731" t="s">
        <v>121</v>
      </c>
      <c r="D301" s="730" t="s">
        <v>1712</v>
      </c>
      <c r="E301" s="730"/>
      <c r="F301" s="731"/>
      <c r="G301" s="730"/>
      <c r="H301" s="730"/>
      <c r="I301" s="730"/>
      <c r="J301" s="732">
        <v>0.02</v>
      </c>
      <c r="K301" s="730"/>
      <c r="L301" s="733"/>
    </row>
    <row r="302" spans="1:12" hidden="1" outlineLevel="1" x14ac:dyDescent="0.35">
      <c r="A302" s="483"/>
      <c r="B302" s="760" t="s">
        <v>1920</v>
      </c>
      <c r="C302" s="731" t="s">
        <v>123</v>
      </c>
      <c r="D302" s="730" t="s">
        <v>1713</v>
      </c>
      <c r="E302" s="730"/>
      <c r="F302" s="731"/>
      <c r="G302" s="730"/>
      <c r="H302" s="730"/>
      <c r="I302" s="730"/>
      <c r="J302" s="732">
        <v>0.02</v>
      </c>
      <c r="K302" s="730"/>
      <c r="L302" s="733"/>
    </row>
    <row r="303" spans="1:12" hidden="1" outlineLevel="1" x14ac:dyDescent="0.35">
      <c r="A303" s="483"/>
      <c r="B303" s="760" t="s">
        <v>1920</v>
      </c>
      <c r="C303" s="731" t="s">
        <v>125</v>
      </c>
      <c r="D303" s="730" t="s">
        <v>1714</v>
      </c>
      <c r="E303" s="730"/>
      <c r="F303" s="731"/>
      <c r="G303" s="730"/>
      <c r="H303" s="730"/>
      <c r="I303" s="730"/>
      <c r="J303" s="732">
        <v>0</v>
      </c>
      <c r="K303" s="730"/>
      <c r="L303" s="733"/>
    </row>
    <row r="304" spans="1:12" hidden="1" outlineLevel="1" x14ac:dyDescent="0.35">
      <c r="A304" s="483"/>
      <c r="B304" s="760" t="s">
        <v>1920</v>
      </c>
      <c r="C304" s="731" t="s">
        <v>127</v>
      </c>
      <c r="D304" s="730" t="s">
        <v>1715</v>
      </c>
      <c r="E304" s="730"/>
      <c r="F304" s="731"/>
      <c r="G304" s="730"/>
      <c r="H304" s="730"/>
      <c r="I304" s="730"/>
      <c r="J304" s="732">
        <v>0</v>
      </c>
      <c r="K304" s="730"/>
      <c r="L304" s="733"/>
    </row>
    <row r="305" spans="1:12" hidden="1" outlineLevel="1" x14ac:dyDescent="0.35">
      <c r="A305" s="483"/>
      <c r="B305" s="760" t="s">
        <v>1920</v>
      </c>
      <c r="C305" s="731" t="s">
        <v>129</v>
      </c>
      <c r="D305" s="730" t="s">
        <v>1716</v>
      </c>
      <c r="E305" s="730"/>
      <c r="F305" s="731"/>
      <c r="G305" s="730"/>
      <c r="H305" s="730"/>
      <c r="I305" s="730"/>
      <c r="J305" s="732">
        <v>0.02</v>
      </c>
      <c r="K305" s="730"/>
      <c r="L305" s="733"/>
    </row>
    <row r="306" spans="1:12" hidden="1" outlineLevel="1" x14ac:dyDescent="0.35">
      <c r="A306" s="483"/>
      <c r="B306" s="760" t="s">
        <v>1920</v>
      </c>
      <c r="C306" s="731" t="s">
        <v>131</v>
      </c>
      <c r="D306" s="730" t="s">
        <v>1717</v>
      </c>
      <c r="E306" s="730"/>
      <c r="F306" s="731"/>
      <c r="G306" s="730"/>
      <c r="H306" s="730"/>
      <c r="I306" s="730"/>
      <c r="J306" s="732">
        <v>0.02</v>
      </c>
      <c r="K306" s="730"/>
      <c r="L306" s="733"/>
    </row>
    <row r="307" spans="1:12" hidden="1" outlineLevel="1" x14ac:dyDescent="0.35">
      <c r="A307" s="483"/>
      <c r="B307" s="760" t="s">
        <v>1920</v>
      </c>
      <c r="C307" s="731" t="s">
        <v>133</v>
      </c>
      <c r="D307" s="730" t="s">
        <v>1718</v>
      </c>
      <c r="E307" s="730"/>
      <c r="F307" s="731"/>
      <c r="G307" s="730"/>
      <c r="H307" s="730"/>
      <c r="I307" s="730"/>
      <c r="J307" s="732">
        <v>0</v>
      </c>
      <c r="K307" s="730"/>
      <c r="L307" s="733"/>
    </row>
    <row r="308" spans="1:12" hidden="1" outlineLevel="1" x14ac:dyDescent="0.35">
      <c r="A308" s="483"/>
      <c r="B308" s="760" t="s">
        <v>1920</v>
      </c>
      <c r="C308" s="731" t="s">
        <v>1043</v>
      </c>
      <c r="D308" s="730" t="s">
        <v>1719</v>
      </c>
      <c r="E308" s="730"/>
      <c r="F308" s="731"/>
      <c r="G308" s="730"/>
      <c r="H308" s="730"/>
      <c r="I308" s="730"/>
      <c r="J308" s="732">
        <v>0.02</v>
      </c>
      <c r="K308" s="730"/>
      <c r="L308" s="733"/>
    </row>
    <row r="309" spans="1:12" hidden="1" outlineLevel="1" x14ac:dyDescent="0.35">
      <c r="A309" s="483"/>
      <c r="B309" s="760" t="s">
        <v>1920</v>
      </c>
      <c r="C309" s="731" t="s">
        <v>1045</v>
      </c>
      <c r="D309" s="730" t="s">
        <v>1720</v>
      </c>
      <c r="E309" s="730"/>
      <c r="F309" s="731"/>
      <c r="G309" s="730"/>
      <c r="H309" s="730"/>
      <c r="I309" s="730"/>
      <c r="J309" s="732">
        <v>0</v>
      </c>
      <c r="K309" s="730"/>
      <c r="L309" s="733"/>
    </row>
    <row r="310" spans="1:12" hidden="1" outlineLevel="1" x14ac:dyDescent="0.35">
      <c r="A310" s="483"/>
      <c r="B310" s="760" t="s">
        <v>1920</v>
      </c>
      <c r="C310" s="731" t="s">
        <v>1047</v>
      </c>
      <c r="D310" s="730" t="s">
        <v>1721</v>
      </c>
      <c r="E310" s="730"/>
      <c r="F310" s="731"/>
      <c r="G310" s="730"/>
      <c r="H310" s="730"/>
      <c r="I310" s="730"/>
      <c r="J310" s="732">
        <v>0</v>
      </c>
      <c r="K310" s="730"/>
      <c r="L310" s="733"/>
    </row>
    <row r="311" spans="1:12" hidden="1" outlineLevel="1" x14ac:dyDescent="0.35">
      <c r="A311" s="483"/>
      <c r="B311" s="760" t="s">
        <v>1920</v>
      </c>
      <c r="C311" s="731" t="s">
        <v>135</v>
      </c>
      <c r="D311" s="730" t="s">
        <v>1722</v>
      </c>
      <c r="E311" s="730"/>
      <c r="F311" s="731"/>
      <c r="G311" s="730"/>
      <c r="H311" s="730"/>
      <c r="I311" s="730"/>
      <c r="J311" s="732">
        <v>0.01</v>
      </c>
      <c r="K311" s="730"/>
      <c r="L311" s="733"/>
    </row>
    <row r="312" spans="1:12" hidden="1" outlineLevel="1" x14ac:dyDescent="0.35">
      <c r="A312" s="483"/>
      <c r="B312" s="760" t="s">
        <v>1920</v>
      </c>
      <c r="C312" s="731" t="s">
        <v>137</v>
      </c>
      <c r="D312" s="730" t="s">
        <v>1723</v>
      </c>
      <c r="E312" s="730"/>
      <c r="F312" s="731"/>
      <c r="G312" s="730"/>
      <c r="H312" s="730"/>
      <c r="I312" s="730"/>
      <c r="J312" s="732">
        <v>0.01</v>
      </c>
      <c r="K312" s="730"/>
      <c r="L312" s="733"/>
    </row>
    <row r="313" spans="1:12" hidden="1" outlineLevel="1" x14ac:dyDescent="0.35">
      <c r="A313" s="483"/>
      <c r="B313" s="760" t="s">
        <v>1920</v>
      </c>
      <c r="C313" s="731" t="s">
        <v>1049</v>
      </c>
      <c r="D313" s="730" t="s">
        <v>1724</v>
      </c>
      <c r="E313" s="730"/>
      <c r="F313" s="731"/>
      <c r="G313" s="730"/>
      <c r="H313" s="730"/>
      <c r="I313" s="730"/>
      <c r="J313" s="732">
        <v>0.01</v>
      </c>
      <c r="K313" s="730"/>
      <c r="L313" s="733"/>
    </row>
    <row r="314" spans="1:12" hidden="1" outlineLevel="1" x14ac:dyDescent="0.35">
      <c r="A314" s="483"/>
      <c r="B314" s="760" t="s">
        <v>1920</v>
      </c>
      <c r="C314" s="731">
        <v>325</v>
      </c>
      <c r="D314" s="730" t="s">
        <v>2329</v>
      </c>
      <c r="E314" s="730"/>
      <c r="F314" s="731"/>
      <c r="G314" s="730"/>
      <c r="H314" s="730"/>
      <c r="I314" s="730"/>
      <c r="J314" s="732">
        <v>0.25</v>
      </c>
      <c r="K314" s="730"/>
      <c r="L314" s="733"/>
    </row>
    <row r="315" spans="1:12" hidden="1" outlineLevel="1" x14ac:dyDescent="0.35">
      <c r="A315" s="483"/>
      <c r="B315" s="760" t="s">
        <v>1920</v>
      </c>
      <c r="C315" s="731" t="s">
        <v>140</v>
      </c>
      <c r="D315" s="730" t="s">
        <v>2330</v>
      </c>
      <c r="E315" s="730"/>
      <c r="F315" s="731"/>
      <c r="G315" s="730"/>
      <c r="H315" s="730"/>
      <c r="I315" s="730"/>
      <c r="J315" s="732">
        <v>0.25</v>
      </c>
      <c r="K315" s="730"/>
      <c r="L315" s="733"/>
    </row>
    <row r="316" spans="1:12" hidden="1" outlineLevel="1" x14ac:dyDescent="0.35">
      <c r="A316" s="483"/>
      <c r="B316" s="760" t="s">
        <v>1920</v>
      </c>
      <c r="C316" s="731">
        <v>3250</v>
      </c>
      <c r="D316" s="730" t="s">
        <v>2328</v>
      </c>
      <c r="E316" s="730"/>
      <c r="F316" s="731"/>
      <c r="G316" s="730"/>
      <c r="H316" s="730"/>
      <c r="I316" s="730"/>
      <c r="J316" s="732">
        <v>0</v>
      </c>
      <c r="K316" s="730"/>
      <c r="L316" s="733"/>
    </row>
    <row r="317" spans="1:12" hidden="1" outlineLevel="1" x14ac:dyDescent="0.35">
      <c r="A317" s="483"/>
      <c r="B317" s="760" t="s">
        <v>1920</v>
      </c>
      <c r="C317" s="731">
        <v>326</v>
      </c>
      <c r="D317" s="730" t="s">
        <v>2331</v>
      </c>
      <c r="E317" s="730"/>
      <c r="F317" s="731"/>
      <c r="G317" s="730"/>
      <c r="H317" s="730"/>
      <c r="I317" s="730"/>
      <c r="J317" s="732">
        <v>0.14000000000000001</v>
      </c>
      <c r="K317" s="730"/>
      <c r="L317" s="733"/>
    </row>
    <row r="318" spans="1:12" hidden="1" outlineLevel="1" x14ac:dyDescent="0.35">
      <c r="A318" s="483"/>
      <c r="B318" s="760" t="s">
        <v>1920</v>
      </c>
      <c r="C318" s="731">
        <v>327</v>
      </c>
      <c r="D318" s="730" t="s">
        <v>2332</v>
      </c>
      <c r="E318" s="730"/>
      <c r="F318" s="731"/>
      <c r="G318" s="730"/>
      <c r="H318" s="730"/>
      <c r="I318" s="730"/>
      <c r="J318" s="732">
        <v>0.14000000000000001</v>
      </c>
      <c r="K318" s="730"/>
      <c r="L318" s="733"/>
    </row>
    <row r="319" spans="1:12" hidden="1" outlineLevel="1" x14ac:dyDescent="0.35">
      <c r="A319" s="483"/>
      <c r="B319" s="760" t="s">
        <v>1920</v>
      </c>
      <c r="C319" s="731">
        <v>328</v>
      </c>
      <c r="D319" s="730" t="s">
        <v>1725</v>
      </c>
      <c r="E319" s="730"/>
      <c r="F319" s="731"/>
      <c r="G319" s="730"/>
      <c r="H319" s="730"/>
      <c r="I319" s="730"/>
      <c r="J319" s="732">
        <v>0</v>
      </c>
      <c r="K319" s="730"/>
      <c r="L319" s="733"/>
    </row>
    <row r="320" spans="1:12" hidden="1" outlineLevel="1" x14ac:dyDescent="0.35">
      <c r="A320" s="483"/>
      <c r="B320" s="760" t="s">
        <v>1920</v>
      </c>
      <c r="C320" s="731">
        <v>329</v>
      </c>
      <c r="D320" s="730" t="s">
        <v>1726</v>
      </c>
      <c r="E320" s="730"/>
      <c r="F320" s="731"/>
      <c r="G320" s="730"/>
      <c r="H320" s="730"/>
      <c r="I320" s="730"/>
      <c r="J320" s="732">
        <v>0</v>
      </c>
      <c r="K320" s="730"/>
      <c r="L320" s="733"/>
    </row>
    <row r="321" spans="1:12" hidden="1" outlineLevel="1" x14ac:dyDescent="0.35">
      <c r="A321" s="483"/>
      <c r="B321" s="760" t="s">
        <v>1920</v>
      </c>
      <c r="C321" s="731">
        <v>330</v>
      </c>
      <c r="D321" s="730" t="s">
        <v>1727</v>
      </c>
      <c r="E321" s="730"/>
      <c r="F321" s="731"/>
      <c r="G321" s="730"/>
      <c r="H321" s="730"/>
      <c r="I321" s="730"/>
      <c r="J321" s="732">
        <v>0</v>
      </c>
      <c r="K321" s="730"/>
      <c r="L321" s="733"/>
    </row>
    <row r="322" spans="1:12" hidden="1" outlineLevel="1" x14ac:dyDescent="0.35">
      <c r="A322" s="483"/>
      <c r="B322" s="760" t="s">
        <v>1920</v>
      </c>
      <c r="C322" s="731">
        <v>331</v>
      </c>
      <c r="D322" s="730" t="s">
        <v>1728</v>
      </c>
      <c r="E322" s="730"/>
      <c r="F322" s="731"/>
      <c r="G322" s="730"/>
      <c r="H322" s="730"/>
      <c r="I322" s="730"/>
      <c r="J322" s="732">
        <v>0</v>
      </c>
      <c r="K322" s="730"/>
      <c r="L322" s="733"/>
    </row>
    <row r="323" spans="1:12" hidden="1" outlineLevel="1" x14ac:dyDescent="0.35">
      <c r="A323" s="483"/>
      <c r="B323" s="760" t="s">
        <v>1920</v>
      </c>
      <c r="C323" s="731">
        <v>332</v>
      </c>
      <c r="D323" s="730" t="s">
        <v>1991</v>
      </c>
      <c r="E323" s="730"/>
      <c r="F323" s="731"/>
      <c r="G323" s="730"/>
      <c r="H323" s="730"/>
      <c r="I323" s="730"/>
      <c r="J323" s="732">
        <v>0</v>
      </c>
      <c r="K323" s="730" t="s">
        <v>1993</v>
      </c>
      <c r="L323" s="733"/>
    </row>
    <row r="324" spans="1:12" hidden="1" outlineLevel="1" x14ac:dyDescent="0.35">
      <c r="A324" s="483"/>
      <c r="B324" s="760" t="s">
        <v>1920</v>
      </c>
      <c r="C324" s="731" t="s">
        <v>145</v>
      </c>
      <c r="D324" s="730" t="s">
        <v>1729</v>
      </c>
      <c r="E324" s="730"/>
      <c r="F324" s="731"/>
      <c r="G324" s="730"/>
      <c r="H324" s="730"/>
      <c r="I324" s="730"/>
      <c r="J324" s="732">
        <v>0</v>
      </c>
      <c r="K324" s="730"/>
      <c r="L324" s="733"/>
    </row>
    <row r="325" spans="1:12" hidden="1" outlineLevel="1" x14ac:dyDescent="0.35">
      <c r="A325" s="483"/>
      <c r="B325" s="760" t="s">
        <v>1920</v>
      </c>
      <c r="C325" s="731" t="s">
        <v>147</v>
      </c>
      <c r="D325" s="730" t="s">
        <v>1730</v>
      </c>
      <c r="E325" s="730"/>
      <c r="F325" s="731"/>
      <c r="G325" s="730"/>
      <c r="H325" s="730"/>
      <c r="I325" s="730"/>
      <c r="J325" s="732">
        <v>0</v>
      </c>
      <c r="K325" s="730"/>
      <c r="L325" s="733"/>
    </row>
    <row r="326" spans="1:12" hidden="1" outlineLevel="1" x14ac:dyDescent="0.35">
      <c r="A326" s="483"/>
      <c r="B326" s="760" t="s">
        <v>1920</v>
      </c>
      <c r="C326" s="731" t="s">
        <v>149</v>
      </c>
      <c r="D326" s="730" t="s">
        <v>1731</v>
      </c>
      <c r="E326" s="730"/>
      <c r="F326" s="731"/>
      <c r="G326" s="730"/>
      <c r="H326" s="730"/>
      <c r="I326" s="730"/>
      <c r="J326" s="732">
        <v>0</v>
      </c>
      <c r="K326" s="730"/>
      <c r="L326" s="733"/>
    </row>
    <row r="327" spans="1:12" hidden="1" outlineLevel="1" x14ac:dyDescent="0.35">
      <c r="A327" s="483"/>
      <c r="B327" s="760" t="s">
        <v>1920</v>
      </c>
      <c r="C327" s="731" t="s">
        <v>151</v>
      </c>
      <c r="D327" s="730" t="s">
        <v>1732</v>
      </c>
      <c r="E327" s="730"/>
      <c r="F327" s="731"/>
      <c r="G327" s="730"/>
      <c r="H327" s="730"/>
      <c r="I327" s="730"/>
      <c r="J327" s="732">
        <v>0</v>
      </c>
      <c r="K327" s="730"/>
      <c r="L327" s="733"/>
    </row>
    <row r="328" spans="1:12" hidden="1" outlineLevel="1" x14ac:dyDescent="0.35">
      <c r="A328" s="483"/>
      <c r="B328" s="760" t="s">
        <v>1920</v>
      </c>
      <c r="C328" s="731" t="s">
        <v>153</v>
      </c>
      <c r="D328" s="730" t="s">
        <v>1733</v>
      </c>
      <c r="E328" s="730"/>
      <c r="F328" s="731"/>
      <c r="G328" s="730"/>
      <c r="H328" s="730"/>
      <c r="I328" s="730"/>
      <c r="J328" s="732">
        <v>0</v>
      </c>
      <c r="K328" s="730"/>
      <c r="L328" s="733"/>
    </row>
    <row r="329" spans="1:12" hidden="1" outlineLevel="1" x14ac:dyDescent="0.35">
      <c r="A329" s="483"/>
      <c r="B329" s="760" t="s">
        <v>1920</v>
      </c>
      <c r="C329" s="731" t="s">
        <v>155</v>
      </c>
      <c r="D329" s="730" t="s">
        <v>1734</v>
      </c>
      <c r="E329" s="730"/>
      <c r="F329" s="731"/>
      <c r="G329" s="730"/>
      <c r="H329" s="730"/>
      <c r="I329" s="730"/>
      <c r="J329" s="732">
        <v>0</v>
      </c>
      <c r="K329" s="730"/>
      <c r="L329" s="733"/>
    </row>
    <row r="330" spans="1:12" hidden="1" outlineLevel="1" x14ac:dyDescent="0.35">
      <c r="A330" s="483"/>
      <c r="B330" s="760" t="s">
        <v>1920</v>
      </c>
      <c r="C330" s="731" t="s">
        <v>157</v>
      </c>
      <c r="D330" s="730" t="s">
        <v>1735</v>
      </c>
      <c r="E330" s="730"/>
      <c r="F330" s="731"/>
      <c r="G330" s="730"/>
      <c r="H330" s="730"/>
      <c r="I330" s="730"/>
      <c r="J330" s="732">
        <v>0</v>
      </c>
      <c r="K330" s="730"/>
      <c r="L330" s="733"/>
    </row>
    <row r="331" spans="1:12" hidden="1" outlineLevel="1" x14ac:dyDescent="0.35">
      <c r="A331" s="483"/>
      <c r="B331" s="760" t="s">
        <v>1920</v>
      </c>
      <c r="C331" s="731" t="s">
        <v>159</v>
      </c>
      <c r="D331" s="730" t="s">
        <v>1736</v>
      </c>
      <c r="E331" s="730"/>
      <c r="F331" s="731"/>
      <c r="G331" s="730"/>
      <c r="H331" s="730"/>
      <c r="I331" s="730"/>
      <c r="J331" s="732">
        <v>0</v>
      </c>
      <c r="K331" s="730"/>
      <c r="L331" s="733"/>
    </row>
    <row r="332" spans="1:12" hidden="1" outlineLevel="1" x14ac:dyDescent="0.35">
      <c r="A332" s="483"/>
      <c r="B332" s="760" t="s">
        <v>1920</v>
      </c>
      <c r="C332" s="731">
        <v>333</v>
      </c>
      <c r="D332" s="730" t="s">
        <v>1737</v>
      </c>
      <c r="E332" s="730"/>
      <c r="F332" s="731"/>
      <c r="G332" s="730"/>
      <c r="H332" s="730"/>
      <c r="I332" s="730"/>
      <c r="J332" s="732">
        <v>0.1</v>
      </c>
      <c r="K332" s="730"/>
      <c r="L332" s="733"/>
    </row>
    <row r="333" spans="1:12" hidden="1" outlineLevel="1" x14ac:dyDescent="0.35">
      <c r="A333" s="483"/>
      <c r="B333" s="760" t="s">
        <v>1920</v>
      </c>
      <c r="C333" s="731">
        <v>334</v>
      </c>
      <c r="D333" s="730" t="s">
        <v>1738</v>
      </c>
      <c r="E333" s="730"/>
      <c r="F333" s="731"/>
      <c r="G333" s="730"/>
      <c r="H333" s="730"/>
      <c r="I333" s="730"/>
      <c r="J333" s="732">
        <v>0.01</v>
      </c>
      <c r="K333" s="730"/>
      <c r="L333" s="733"/>
    </row>
    <row r="334" spans="1:12" hidden="1" outlineLevel="1" x14ac:dyDescent="0.35">
      <c r="A334" s="483"/>
      <c r="B334" s="760" t="s">
        <v>1920</v>
      </c>
      <c r="C334" s="731">
        <v>335</v>
      </c>
      <c r="D334" s="730" t="s">
        <v>2202</v>
      </c>
      <c r="E334" s="730"/>
      <c r="F334" s="731"/>
      <c r="G334" s="730"/>
      <c r="H334" s="730"/>
      <c r="I334" s="730"/>
      <c r="J334" s="732">
        <v>0.15</v>
      </c>
      <c r="K334" s="730"/>
      <c r="L334" s="733"/>
    </row>
    <row r="335" spans="1:12" hidden="1" outlineLevel="1" x14ac:dyDescent="0.35">
      <c r="A335" s="483"/>
      <c r="B335" s="760" t="s">
        <v>1920</v>
      </c>
      <c r="C335" s="731">
        <v>336</v>
      </c>
      <c r="D335" s="730" t="s">
        <v>1739</v>
      </c>
      <c r="E335" s="730"/>
      <c r="F335" s="731"/>
      <c r="G335" s="730"/>
      <c r="H335" s="730"/>
      <c r="I335" s="730"/>
      <c r="J335" s="732">
        <v>2.0000000000000001E-4</v>
      </c>
      <c r="K335" s="730"/>
      <c r="L335" s="733"/>
    </row>
    <row r="336" spans="1:12" hidden="1" outlineLevel="1" x14ac:dyDescent="0.35">
      <c r="A336" s="483"/>
      <c r="B336" s="760" t="s">
        <v>1920</v>
      </c>
      <c r="C336" s="731">
        <v>337</v>
      </c>
      <c r="D336" s="730" t="s">
        <v>1740</v>
      </c>
      <c r="E336" s="730"/>
      <c r="F336" s="731"/>
      <c r="G336" s="730"/>
      <c r="H336" s="730"/>
      <c r="I336" s="730"/>
      <c r="J336" s="732">
        <v>2.9999999999999997E-4</v>
      </c>
      <c r="K336" s="730"/>
      <c r="L336" s="733"/>
    </row>
    <row r="337" spans="1:12" hidden="1" outlineLevel="1" x14ac:dyDescent="0.35">
      <c r="A337" s="483"/>
      <c r="B337" s="760" t="s">
        <v>1920</v>
      </c>
      <c r="C337" s="731">
        <v>338</v>
      </c>
      <c r="D337" s="730" t="s">
        <v>2333</v>
      </c>
      <c r="E337" s="730"/>
      <c r="F337" s="731"/>
      <c r="G337" s="730"/>
      <c r="H337" s="730"/>
      <c r="I337" s="730"/>
      <c r="J337" s="732">
        <v>0.02</v>
      </c>
      <c r="K337" s="730"/>
      <c r="L337" s="733"/>
    </row>
    <row r="338" spans="1:12" hidden="1" outlineLevel="1" x14ac:dyDescent="0.35">
      <c r="A338" s="483"/>
      <c r="B338" s="760" t="s">
        <v>1920</v>
      </c>
      <c r="C338" s="731">
        <v>339</v>
      </c>
      <c r="D338" s="730" t="s">
        <v>1741</v>
      </c>
      <c r="E338" s="730"/>
      <c r="F338" s="731"/>
      <c r="G338" s="730"/>
      <c r="H338" s="730"/>
      <c r="I338" s="730"/>
      <c r="J338" s="732">
        <v>0</v>
      </c>
      <c r="K338" s="730"/>
      <c r="L338" s="733"/>
    </row>
    <row r="339" spans="1:12" hidden="1" outlineLevel="1" x14ac:dyDescent="0.35">
      <c r="A339" s="483"/>
      <c r="B339" s="760" t="s">
        <v>1920</v>
      </c>
      <c r="C339" s="731">
        <v>340</v>
      </c>
      <c r="D339" s="730" t="s">
        <v>2334</v>
      </c>
      <c r="E339" s="730"/>
      <c r="F339" s="731"/>
      <c r="G339" s="730"/>
      <c r="H339" s="730"/>
      <c r="I339" s="730"/>
      <c r="J339" s="732">
        <v>0.03</v>
      </c>
      <c r="K339" s="730"/>
      <c r="L339" s="733"/>
    </row>
    <row r="340" spans="1:12" hidden="1" outlineLevel="1" x14ac:dyDescent="0.35">
      <c r="A340" s="483"/>
      <c r="B340" s="760" t="s">
        <v>1920</v>
      </c>
      <c r="C340" s="731">
        <v>341</v>
      </c>
      <c r="D340" s="730" t="s">
        <v>1742</v>
      </c>
      <c r="E340" s="730"/>
      <c r="F340" s="731"/>
      <c r="G340" s="730"/>
      <c r="H340" s="730"/>
      <c r="I340" s="730"/>
      <c r="J340" s="732">
        <v>1.2500000000000001E-2</v>
      </c>
      <c r="K340" s="730"/>
      <c r="L340" s="733"/>
    </row>
    <row r="341" spans="1:12" hidden="1" outlineLevel="1" x14ac:dyDescent="0.35">
      <c r="A341" s="483"/>
      <c r="B341" s="760" t="s">
        <v>1920</v>
      </c>
      <c r="C341" s="731">
        <v>342</v>
      </c>
      <c r="D341" s="730" t="s">
        <v>1743</v>
      </c>
      <c r="E341" s="730"/>
      <c r="F341" s="731"/>
      <c r="G341" s="730"/>
      <c r="H341" s="730"/>
      <c r="I341" s="730"/>
      <c r="J341" s="732">
        <v>1.7500000000000002E-2</v>
      </c>
      <c r="K341" s="730"/>
      <c r="L341" s="733"/>
    </row>
    <row r="342" spans="1:12" hidden="1" outlineLevel="1" x14ac:dyDescent="0.35">
      <c r="A342" s="483"/>
      <c r="B342" s="760" t="s">
        <v>1920</v>
      </c>
      <c r="C342" s="731">
        <v>343</v>
      </c>
      <c r="D342" s="730" t="s">
        <v>1992</v>
      </c>
      <c r="E342" s="730"/>
      <c r="F342" s="731"/>
      <c r="G342" s="730"/>
      <c r="H342" s="730"/>
      <c r="I342" s="730"/>
      <c r="J342" s="732">
        <v>0.01</v>
      </c>
      <c r="K342" s="730" t="s">
        <v>1993</v>
      </c>
      <c r="L342" s="733"/>
    </row>
    <row r="343" spans="1:12" hidden="1" outlineLevel="1" x14ac:dyDescent="0.35">
      <c r="A343" s="483"/>
      <c r="B343" s="760" t="s">
        <v>1920</v>
      </c>
      <c r="C343" s="731" t="s">
        <v>165</v>
      </c>
      <c r="D343" s="730" t="s">
        <v>1744</v>
      </c>
      <c r="E343" s="730"/>
      <c r="F343" s="731"/>
      <c r="G343" s="730"/>
      <c r="H343" s="730"/>
      <c r="I343" s="730"/>
      <c r="J343" s="732">
        <v>0.01</v>
      </c>
      <c r="K343" s="730"/>
      <c r="L343" s="733"/>
    </row>
    <row r="344" spans="1:12" hidden="1" outlineLevel="1" x14ac:dyDescent="0.35">
      <c r="A344" s="483"/>
      <c r="B344" s="760" t="s">
        <v>1920</v>
      </c>
      <c r="C344" s="731" t="s">
        <v>167</v>
      </c>
      <c r="D344" s="730" t="s">
        <v>1745</v>
      </c>
      <c r="E344" s="730"/>
      <c r="F344" s="731"/>
      <c r="G344" s="730"/>
      <c r="H344" s="730"/>
      <c r="I344" s="730"/>
      <c r="J344" s="732">
        <v>1.7500000000000002E-2</v>
      </c>
      <c r="K344" s="730"/>
      <c r="L344" s="733"/>
    </row>
    <row r="345" spans="1:12" hidden="1" outlineLevel="1" x14ac:dyDescent="0.35">
      <c r="A345" s="483"/>
      <c r="B345" s="760" t="s">
        <v>1920</v>
      </c>
      <c r="C345" s="731" t="s">
        <v>1052</v>
      </c>
      <c r="D345" s="730" t="s">
        <v>2220</v>
      </c>
      <c r="E345" s="730"/>
      <c r="F345" s="731"/>
      <c r="G345" s="730"/>
      <c r="H345" s="730"/>
      <c r="I345" s="730"/>
      <c r="J345" s="732">
        <v>0.02</v>
      </c>
      <c r="K345" s="730"/>
      <c r="L345" s="733"/>
    </row>
    <row r="346" spans="1:12" hidden="1" outlineLevel="1" x14ac:dyDescent="0.35">
      <c r="A346" s="483"/>
      <c r="B346" s="760" t="s">
        <v>1920</v>
      </c>
      <c r="C346" s="731">
        <v>344</v>
      </c>
      <c r="D346" s="730" t="s">
        <v>1746</v>
      </c>
      <c r="E346" s="730"/>
      <c r="F346" s="731"/>
      <c r="G346" s="730"/>
      <c r="H346" s="730"/>
      <c r="I346" s="730"/>
      <c r="J346" s="732">
        <v>0.02</v>
      </c>
      <c r="K346" s="730"/>
      <c r="L346" s="733"/>
    </row>
    <row r="347" spans="1:12" hidden="1" outlineLevel="1" x14ac:dyDescent="0.35">
      <c r="A347" s="483"/>
      <c r="B347" s="760" t="s">
        <v>1920</v>
      </c>
      <c r="C347" s="731">
        <v>3440</v>
      </c>
      <c r="D347" s="730" t="s">
        <v>2335</v>
      </c>
      <c r="E347" s="730"/>
      <c r="F347" s="731"/>
      <c r="G347" s="730"/>
      <c r="H347" s="730"/>
      <c r="I347" s="730"/>
      <c r="J347" s="732">
        <v>2.75E-2</v>
      </c>
      <c r="K347" s="730"/>
      <c r="L347" s="733"/>
    </row>
    <row r="348" spans="1:12" hidden="1" outlineLevel="1" x14ac:dyDescent="0.35">
      <c r="A348" s="483"/>
      <c r="B348" s="760" t="s">
        <v>1920</v>
      </c>
      <c r="C348" s="731" t="s">
        <v>170</v>
      </c>
      <c r="D348" s="730" t="s">
        <v>1747</v>
      </c>
      <c r="E348" s="730"/>
      <c r="F348" s="731"/>
      <c r="G348" s="730"/>
      <c r="H348" s="730"/>
      <c r="I348" s="730"/>
      <c r="J348" s="732">
        <v>0.02</v>
      </c>
      <c r="K348" s="730"/>
      <c r="L348" s="733"/>
    </row>
    <row r="349" spans="1:12" hidden="1" outlineLevel="1" x14ac:dyDescent="0.35">
      <c r="A349" s="483"/>
      <c r="B349" s="760" t="s">
        <v>1920</v>
      </c>
      <c r="C349" s="731" t="s">
        <v>1054</v>
      </c>
      <c r="D349" s="730" t="s">
        <v>1748</v>
      </c>
      <c r="E349" s="730"/>
      <c r="F349" s="731"/>
      <c r="G349" s="730"/>
      <c r="H349" s="730"/>
      <c r="I349" s="730"/>
      <c r="J349" s="732">
        <v>0.02</v>
      </c>
      <c r="K349" s="730"/>
      <c r="L349" s="733"/>
    </row>
    <row r="350" spans="1:12" hidden="1" outlineLevel="1" x14ac:dyDescent="0.35">
      <c r="A350" s="483"/>
      <c r="B350" s="760" t="s">
        <v>1920</v>
      </c>
      <c r="C350" s="731">
        <v>345</v>
      </c>
      <c r="D350" s="730" t="s">
        <v>1749</v>
      </c>
      <c r="E350" s="730"/>
      <c r="F350" s="731"/>
      <c r="G350" s="730"/>
      <c r="H350" s="730"/>
      <c r="I350" s="730"/>
      <c r="J350" s="732">
        <v>0.08</v>
      </c>
      <c r="K350" s="730"/>
      <c r="L350" s="733"/>
    </row>
    <row r="351" spans="1:12" hidden="1" outlineLevel="1" x14ac:dyDescent="0.35">
      <c r="A351" s="483"/>
      <c r="B351" s="760" t="s">
        <v>1920</v>
      </c>
      <c r="C351" s="731">
        <v>346</v>
      </c>
      <c r="D351" s="730" t="s">
        <v>2336</v>
      </c>
      <c r="E351" s="730"/>
      <c r="F351" s="731"/>
      <c r="G351" s="730"/>
      <c r="H351" s="730"/>
      <c r="I351" s="730"/>
      <c r="J351" s="732">
        <v>1.7500000000000002E-2</v>
      </c>
      <c r="K351" s="730" t="s">
        <v>1993</v>
      </c>
      <c r="L351" s="733"/>
    </row>
    <row r="352" spans="1:12" hidden="1" outlineLevel="1" x14ac:dyDescent="0.35">
      <c r="A352" s="483"/>
      <c r="B352" s="760" t="s">
        <v>1920</v>
      </c>
      <c r="C352" s="731" t="s">
        <v>172</v>
      </c>
      <c r="D352" s="730" t="s">
        <v>1750</v>
      </c>
      <c r="E352" s="730"/>
      <c r="F352" s="731"/>
      <c r="G352" s="730"/>
      <c r="H352" s="730"/>
      <c r="I352" s="730"/>
      <c r="J352" s="732">
        <v>0</v>
      </c>
      <c r="K352" s="730"/>
      <c r="L352" s="733"/>
    </row>
    <row r="353" spans="1:12" hidden="1" outlineLevel="1" x14ac:dyDescent="0.35">
      <c r="A353" s="483"/>
      <c r="B353" s="760" t="s">
        <v>1920</v>
      </c>
      <c r="C353" s="731" t="s">
        <v>1058</v>
      </c>
      <c r="D353" s="730" t="s">
        <v>2337</v>
      </c>
      <c r="E353" s="730"/>
      <c r="F353" s="731"/>
      <c r="G353" s="730"/>
      <c r="H353" s="730"/>
      <c r="I353" s="730"/>
      <c r="J353" s="732">
        <v>0</v>
      </c>
      <c r="K353" s="730"/>
      <c r="L353" s="733"/>
    </row>
    <row r="354" spans="1:12" hidden="1" outlineLevel="1" x14ac:dyDescent="0.35">
      <c r="A354" s="483"/>
      <c r="B354" s="760" t="s">
        <v>1920</v>
      </c>
      <c r="C354" s="731" t="s">
        <v>1060</v>
      </c>
      <c r="D354" s="730" t="s">
        <v>2203</v>
      </c>
      <c r="E354" s="730"/>
      <c r="F354" s="731"/>
      <c r="G354" s="730"/>
      <c r="H354" s="730"/>
      <c r="I354" s="730"/>
      <c r="J354" s="732">
        <v>0</v>
      </c>
      <c r="K354" s="730"/>
      <c r="L354" s="733"/>
    </row>
    <row r="355" spans="1:12" hidden="1" outlineLevel="1" x14ac:dyDescent="0.35">
      <c r="A355" s="483"/>
      <c r="B355" s="760" t="s">
        <v>1920</v>
      </c>
      <c r="C355" s="731" t="s">
        <v>1062</v>
      </c>
      <c r="D355" s="730" t="s">
        <v>2338</v>
      </c>
      <c r="E355" s="730"/>
      <c r="F355" s="731"/>
      <c r="G355" s="730"/>
      <c r="H355" s="730"/>
      <c r="I355" s="730"/>
      <c r="J355" s="732">
        <v>0</v>
      </c>
      <c r="K355" s="730"/>
      <c r="L355" s="733"/>
    </row>
    <row r="356" spans="1:12" hidden="1" outlineLevel="1" x14ac:dyDescent="0.35">
      <c r="A356" s="483"/>
      <c r="B356" s="760" t="s">
        <v>1920</v>
      </c>
      <c r="C356" s="731">
        <v>348</v>
      </c>
      <c r="D356" s="730" t="s">
        <v>1751</v>
      </c>
      <c r="E356" s="730"/>
      <c r="F356" s="731"/>
      <c r="G356" s="730"/>
      <c r="H356" s="730"/>
      <c r="I356" s="730"/>
      <c r="J356" s="732">
        <v>0.01</v>
      </c>
      <c r="K356" s="730"/>
      <c r="L356" s="733"/>
    </row>
    <row r="357" spans="1:12" hidden="1" outlineLevel="1" x14ac:dyDescent="0.35">
      <c r="A357" s="483"/>
      <c r="B357" s="760" t="s">
        <v>1920</v>
      </c>
      <c r="C357" s="731">
        <v>3480</v>
      </c>
      <c r="D357" s="730" t="s">
        <v>2315</v>
      </c>
      <c r="E357" s="730"/>
      <c r="F357" s="731"/>
      <c r="G357" s="730"/>
      <c r="H357" s="730"/>
      <c r="I357" s="730"/>
      <c r="J357" s="732">
        <v>0.15</v>
      </c>
      <c r="K357" s="730"/>
      <c r="L357" s="733"/>
    </row>
    <row r="358" spans="1:12" hidden="1" outlineLevel="1" x14ac:dyDescent="0.35">
      <c r="A358" s="483"/>
      <c r="B358" s="760" t="s">
        <v>1920</v>
      </c>
      <c r="C358" s="731">
        <v>3481</v>
      </c>
      <c r="D358" s="730" t="s">
        <v>2339</v>
      </c>
      <c r="E358" s="730"/>
      <c r="F358" s="731"/>
      <c r="G358" s="730"/>
      <c r="H358" s="730"/>
      <c r="I358" s="730"/>
      <c r="J358" s="732">
        <v>0.05</v>
      </c>
      <c r="K358" s="730"/>
      <c r="L358" s="733"/>
    </row>
    <row r="359" spans="1:12" hidden="1" outlineLevel="1" x14ac:dyDescent="0.35">
      <c r="A359" s="483"/>
      <c r="B359" s="760" t="s">
        <v>1920</v>
      </c>
      <c r="C359" s="731">
        <v>3482</v>
      </c>
      <c r="D359" s="730" t="s">
        <v>2221</v>
      </c>
      <c r="E359" s="730"/>
      <c r="F359" s="731"/>
      <c r="G359" s="730"/>
      <c r="H359" s="730"/>
      <c r="I359" s="730"/>
      <c r="J359" s="732">
        <v>0.03</v>
      </c>
      <c r="K359" s="730"/>
      <c r="L359" s="733"/>
    </row>
    <row r="360" spans="1:12" hidden="1" outlineLevel="1" x14ac:dyDescent="0.35">
      <c r="A360" s="483"/>
      <c r="B360" s="760" t="s">
        <v>1920</v>
      </c>
      <c r="C360" s="731">
        <v>350</v>
      </c>
      <c r="D360" s="730" t="s">
        <v>2340</v>
      </c>
      <c r="E360" s="730"/>
      <c r="F360" s="731"/>
      <c r="G360" s="730"/>
      <c r="H360" s="730"/>
      <c r="I360" s="730"/>
      <c r="J360" s="732">
        <v>1.7500000000000002E-2</v>
      </c>
      <c r="K360" s="730"/>
      <c r="L360" s="733"/>
    </row>
    <row r="361" spans="1:12" hidden="1" outlineLevel="1" x14ac:dyDescent="0.35">
      <c r="A361" s="483"/>
      <c r="B361" s="760" t="s">
        <v>1920</v>
      </c>
      <c r="C361" s="731">
        <v>351</v>
      </c>
      <c r="D361" s="730" t="s">
        <v>1752</v>
      </c>
      <c r="E361" s="730"/>
      <c r="F361" s="731"/>
      <c r="G361" s="730"/>
      <c r="H361" s="730"/>
      <c r="I361" s="730"/>
      <c r="J361" s="732">
        <v>1.7500000000000002E-2</v>
      </c>
      <c r="K361" s="730"/>
      <c r="L361" s="733"/>
    </row>
    <row r="362" spans="1:12" hidden="1" outlineLevel="1" x14ac:dyDescent="0.35">
      <c r="A362" s="483"/>
      <c r="B362" s="760" t="s">
        <v>1920</v>
      </c>
      <c r="C362" s="731">
        <v>500</v>
      </c>
      <c r="D362" s="730" t="s">
        <v>2341</v>
      </c>
      <c r="E362" s="730"/>
      <c r="F362" s="731"/>
      <c r="G362" s="730"/>
      <c r="H362" s="730"/>
      <c r="I362" s="730"/>
      <c r="J362" s="732">
        <v>0.25</v>
      </c>
      <c r="K362" s="730"/>
      <c r="L362" s="733"/>
    </row>
    <row r="363" spans="1:12" hidden="1" outlineLevel="1" x14ac:dyDescent="0.35">
      <c r="A363" s="483"/>
      <c r="B363" s="760" t="s">
        <v>1920</v>
      </c>
      <c r="C363" s="731">
        <v>501</v>
      </c>
      <c r="D363" s="730" t="s">
        <v>2342</v>
      </c>
      <c r="E363" s="730"/>
      <c r="F363" s="731"/>
      <c r="G363" s="730"/>
      <c r="H363" s="730"/>
      <c r="I363" s="730"/>
      <c r="J363" s="732">
        <v>0.25</v>
      </c>
      <c r="K363" s="730"/>
      <c r="L363" s="733"/>
    </row>
    <row r="364" spans="1:12" hidden="1" outlineLevel="1" x14ac:dyDescent="0.35">
      <c r="A364" s="483"/>
      <c r="B364" s="760" t="s">
        <v>1920</v>
      </c>
      <c r="C364" s="731" t="s">
        <v>1064</v>
      </c>
      <c r="D364" s="730" t="s">
        <v>2343</v>
      </c>
      <c r="E364" s="730"/>
      <c r="F364" s="731"/>
      <c r="G364" s="730"/>
      <c r="H364" s="730"/>
      <c r="I364" s="730"/>
      <c r="J364" s="732">
        <v>0.25</v>
      </c>
      <c r="K364" s="730"/>
      <c r="L364" s="733"/>
    </row>
    <row r="365" spans="1:12" hidden="1" outlineLevel="1" x14ac:dyDescent="0.35">
      <c r="A365" s="483"/>
      <c r="B365" s="760" t="s">
        <v>1920</v>
      </c>
      <c r="C365" s="731">
        <v>503</v>
      </c>
      <c r="D365" s="730" t="s">
        <v>2344</v>
      </c>
      <c r="E365" s="730"/>
      <c r="F365" s="731"/>
      <c r="G365" s="730"/>
      <c r="H365" s="730"/>
      <c r="I365" s="730"/>
      <c r="J365" s="732">
        <v>0.25</v>
      </c>
      <c r="K365" s="730"/>
      <c r="L365" s="733"/>
    </row>
    <row r="366" spans="1:12" hidden="1" outlineLevel="1" x14ac:dyDescent="0.35">
      <c r="A366" s="483"/>
      <c r="B366" s="760" t="s">
        <v>1920</v>
      </c>
      <c r="C366" s="731">
        <v>504</v>
      </c>
      <c r="D366" s="730" t="s">
        <v>2345</v>
      </c>
      <c r="E366" s="730"/>
      <c r="F366" s="731"/>
      <c r="G366" s="730"/>
      <c r="H366" s="730"/>
      <c r="I366" s="730"/>
      <c r="J366" s="732">
        <v>0.1</v>
      </c>
      <c r="K366" s="730"/>
      <c r="L366" s="733"/>
    </row>
    <row r="367" spans="1:12" hidden="1" outlineLevel="1" x14ac:dyDescent="0.35">
      <c r="A367" s="483"/>
      <c r="B367" s="760" t="s">
        <v>1920</v>
      </c>
      <c r="C367" s="731" t="s">
        <v>177</v>
      </c>
      <c r="D367" s="730" t="s">
        <v>2346</v>
      </c>
      <c r="E367" s="730"/>
      <c r="F367" s="731"/>
      <c r="G367" s="730"/>
      <c r="H367" s="730"/>
      <c r="I367" s="730"/>
      <c r="J367" s="732">
        <v>0.12</v>
      </c>
      <c r="K367" s="730"/>
      <c r="L367" s="733"/>
    </row>
    <row r="368" spans="1:12" hidden="1" outlineLevel="1" x14ac:dyDescent="0.35">
      <c r="A368" s="483"/>
      <c r="B368" s="760" t="s">
        <v>1920</v>
      </c>
      <c r="C368" s="731" t="s">
        <v>179</v>
      </c>
      <c r="D368" s="730" t="s">
        <v>2347</v>
      </c>
      <c r="E368" s="730"/>
      <c r="F368" s="731"/>
      <c r="G368" s="730"/>
      <c r="H368" s="730"/>
      <c r="I368" s="730"/>
      <c r="J368" s="732">
        <v>0.14000000000000001</v>
      </c>
      <c r="K368" s="730"/>
      <c r="L368" s="733"/>
    </row>
    <row r="369" spans="1:12" hidden="1" outlineLevel="1" x14ac:dyDescent="0.35">
      <c r="A369" s="483"/>
      <c r="B369" s="760" t="s">
        <v>1920</v>
      </c>
      <c r="C369" s="731" t="s">
        <v>180</v>
      </c>
      <c r="D369" s="730" t="s">
        <v>2348</v>
      </c>
      <c r="E369" s="730"/>
      <c r="F369" s="731"/>
      <c r="G369" s="730"/>
      <c r="H369" s="730"/>
      <c r="I369" s="730"/>
      <c r="J369" s="732">
        <v>0.14000000000000001</v>
      </c>
      <c r="K369" s="730"/>
      <c r="L369" s="733"/>
    </row>
    <row r="370" spans="1:12" hidden="1" outlineLevel="1" x14ac:dyDescent="0.35">
      <c r="A370" s="483"/>
      <c r="B370" s="760" t="s">
        <v>1920</v>
      </c>
      <c r="C370" s="731" t="s">
        <v>181</v>
      </c>
      <c r="D370" s="730" t="s">
        <v>2349</v>
      </c>
      <c r="E370" s="730"/>
      <c r="F370" s="731"/>
      <c r="G370" s="730"/>
      <c r="H370" s="730"/>
      <c r="I370" s="730"/>
      <c r="J370" s="732">
        <v>0.14000000000000001</v>
      </c>
      <c r="K370" s="730"/>
      <c r="L370" s="733"/>
    </row>
    <row r="371" spans="1:12" hidden="1" outlineLevel="1" x14ac:dyDescent="0.35">
      <c r="A371" s="483"/>
      <c r="B371" s="760" t="s">
        <v>1920</v>
      </c>
      <c r="C371" s="731" t="s">
        <v>182</v>
      </c>
      <c r="D371" s="730" t="s">
        <v>2350</v>
      </c>
      <c r="E371" s="730"/>
      <c r="F371" s="731"/>
      <c r="G371" s="730"/>
      <c r="H371" s="730"/>
      <c r="I371" s="730"/>
      <c r="J371" s="732">
        <v>0.25</v>
      </c>
      <c r="K371" s="730"/>
      <c r="L371" s="733"/>
    </row>
    <row r="372" spans="1:12" hidden="1" outlineLevel="1" x14ac:dyDescent="0.35">
      <c r="A372" s="483"/>
      <c r="B372" s="760" t="s">
        <v>1920</v>
      </c>
      <c r="C372" s="731" t="s">
        <v>183</v>
      </c>
      <c r="D372" s="730" t="s">
        <v>2351</v>
      </c>
      <c r="E372" s="730"/>
      <c r="F372" s="731"/>
      <c r="G372" s="730"/>
      <c r="H372" s="730"/>
      <c r="I372" s="730"/>
      <c r="J372" s="732">
        <v>0.25</v>
      </c>
      <c r="K372" s="730"/>
      <c r="L372" s="733"/>
    </row>
    <row r="373" spans="1:12" hidden="1" outlineLevel="1" x14ac:dyDescent="0.35">
      <c r="A373" s="483"/>
      <c r="B373" s="760" t="s">
        <v>1920</v>
      </c>
      <c r="C373" s="731" t="s">
        <v>184</v>
      </c>
      <c r="D373" s="730" t="s">
        <v>2352</v>
      </c>
      <c r="E373" s="730"/>
      <c r="F373" s="731"/>
      <c r="G373" s="730"/>
      <c r="H373" s="730"/>
      <c r="I373" s="730"/>
      <c r="J373" s="732">
        <v>0.25</v>
      </c>
      <c r="K373" s="730"/>
      <c r="L373" s="733"/>
    </row>
    <row r="374" spans="1:12" hidden="1" outlineLevel="1" x14ac:dyDescent="0.35">
      <c r="A374" s="483"/>
      <c r="B374" s="760" t="s">
        <v>1920</v>
      </c>
      <c r="C374" s="731" t="s">
        <v>185</v>
      </c>
      <c r="D374" s="730" t="s">
        <v>2353</v>
      </c>
      <c r="E374" s="730"/>
      <c r="F374" s="731"/>
      <c r="G374" s="730"/>
      <c r="H374" s="730"/>
      <c r="I374" s="730"/>
      <c r="J374" s="732">
        <v>0.25</v>
      </c>
      <c r="K374" s="730"/>
      <c r="L374" s="733"/>
    </row>
    <row r="375" spans="1:12" hidden="1" outlineLevel="1" x14ac:dyDescent="0.35">
      <c r="A375" s="483"/>
      <c r="B375" s="760" t="s">
        <v>1920</v>
      </c>
      <c r="C375" s="731" t="s">
        <v>1066</v>
      </c>
      <c r="D375" s="730" t="s">
        <v>2354</v>
      </c>
      <c r="E375" s="730"/>
      <c r="F375" s="731"/>
      <c r="G375" s="730"/>
      <c r="H375" s="730"/>
      <c r="I375" s="730"/>
      <c r="J375" s="732">
        <v>0.25</v>
      </c>
      <c r="K375" s="730"/>
      <c r="L375" s="733"/>
    </row>
    <row r="376" spans="1:12" hidden="1" outlineLevel="1" x14ac:dyDescent="0.35">
      <c r="A376" s="483"/>
      <c r="B376" s="760" t="s">
        <v>1920</v>
      </c>
      <c r="C376" s="731" t="s">
        <v>1068</v>
      </c>
      <c r="D376" s="730" t="s">
        <v>2355</v>
      </c>
      <c r="E376" s="730"/>
      <c r="F376" s="731"/>
      <c r="G376" s="730"/>
      <c r="H376" s="730"/>
      <c r="I376" s="730"/>
      <c r="J376" s="732">
        <v>0.25</v>
      </c>
      <c r="K376" s="730"/>
      <c r="L376" s="733"/>
    </row>
    <row r="377" spans="1:12" hidden="1" outlineLevel="1" x14ac:dyDescent="0.35">
      <c r="A377" s="483"/>
      <c r="B377" s="760" t="s">
        <v>1920</v>
      </c>
      <c r="C377" s="731">
        <v>505</v>
      </c>
      <c r="D377" s="730" t="s">
        <v>2356</v>
      </c>
      <c r="E377" s="730"/>
      <c r="F377" s="731"/>
      <c r="G377" s="730"/>
      <c r="H377" s="730"/>
      <c r="I377" s="730"/>
      <c r="J377" s="732">
        <v>0.25</v>
      </c>
      <c r="K377" s="730"/>
      <c r="L377" s="733"/>
    </row>
    <row r="378" spans="1:12" hidden="1" outlineLevel="1" x14ac:dyDescent="0.35">
      <c r="A378" s="483"/>
      <c r="B378" s="760" t="s">
        <v>1920</v>
      </c>
      <c r="C378" s="731" t="s">
        <v>187</v>
      </c>
      <c r="D378" s="730" t="s">
        <v>2357</v>
      </c>
      <c r="E378" s="730"/>
      <c r="F378" s="731"/>
      <c r="G378" s="730"/>
      <c r="H378" s="730"/>
      <c r="I378" s="730"/>
      <c r="J378" s="732">
        <v>0.25</v>
      </c>
      <c r="K378" s="730"/>
      <c r="L378" s="733"/>
    </row>
    <row r="379" spans="1:12" hidden="1" outlineLevel="1" x14ac:dyDescent="0.35">
      <c r="A379" s="483"/>
      <c r="B379" s="760" t="s">
        <v>1920</v>
      </c>
      <c r="C379" s="731" t="s">
        <v>189</v>
      </c>
      <c r="D379" s="730" t="s">
        <v>2358</v>
      </c>
      <c r="E379" s="730"/>
      <c r="F379" s="731"/>
      <c r="G379" s="730"/>
      <c r="H379" s="730"/>
      <c r="I379" s="730"/>
      <c r="J379" s="732">
        <v>0.25</v>
      </c>
      <c r="K379" s="730"/>
      <c r="L379" s="733"/>
    </row>
    <row r="380" spans="1:12" hidden="1" outlineLevel="1" x14ac:dyDescent="0.35">
      <c r="A380" s="483"/>
      <c r="B380" s="760" t="s">
        <v>1920</v>
      </c>
      <c r="C380" s="731" t="s">
        <v>191</v>
      </c>
      <c r="D380" s="730" t="s">
        <v>2359</v>
      </c>
      <c r="E380" s="730"/>
      <c r="F380" s="731"/>
      <c r="G380" s="730"/>
      <c r="H380" s="730"/>
      <c r="I380" s="730"/>
      <c r="J380" s="732">
        <v>0.25</v>
      </c>
      <c r="K380" s="730"/>
      <c r="L380" s="733"/>
    </row>
    <row r="381" spans="1:12" hidden="1" outlineLevel="1" x14ac:dyDescent="0.35">
      <c r="A381" s="483"/>
      <c r="B381" s="760" t="s">
        <v>1920</v>
      </c>
      <c r="C381" s="731" t="s">
        <v>193</v>
      </c>
      <c r="D381" s="730" t="s">
        <v>1753</v>
      </c>
      <c r="E381" s="730"/>
      <c r="F381" s="731"/>
      <c r="G381" s="730"/>
      <c r="H381" s="730"/>
      <c r="I381" s="730"/>
      <c r="J381" s="732">
        <v>0.25</v>
      </c>
      <c r="K381" s="730"/>
      <c r="L381" s="733"/>
    </row>
    <row r="382" spans="1:12" hidden="1" outlineLevel="1" x14ac:dyDescent="0.35">
      <c r="A382" s="483"/>
      <c r="B382" s="760" t="s">
        <v>1920</v>
      </c>
      <c r="C382" s="731" t="s">
        <v>195</v>
      </c>
      <c r="D382" s="730" t="s">
        <v>1754</v>
      </c>
      <c r="E382" s="730"/>
      <c r="F382" s="731"/>
      <c r="G382" s="730"/>
      <c r="H382" s="730"/>
      <c r="I382" s="730"/>
      <c r="J382" s="732">
        <v>0.25</v>
      </c>
      <c r="K382" s="730"/>
      <c r="L382" s="733"/>
    </row>
    <row r="383" spans="1:12" hidden="1" outlineLevel="1" x14ac:dyDescent="0.35">
      <c r="A383" s="483"/>
      <c r="B383" s="760" t="s">
        <v>1920</v>
      </c>
      <c r="C383" s="731" t="s">
        <v>197</v>
      </c>
      <c r="D383" s="730" t="s">
        <v>2360</v>
      </c>
      <c r="E383" s="730"/>
      <c r="F383" s="731"/>
      <c r="G383" s="730"/>
      <c r="H383" s="730"/>
      <c r="I383" s="730"/>
      <c r="J383" s="732">
        <v>0.25</v>
      </c>
      <c r="K383" s="730"/>
      <c r="L383" s="733"/>
    </row>
    <row r="384" spans="1:12" hidden="1" outlineLevel="1" x14ac:dyDescent="0.35">
      <c r="A384" s="483"/>
      <c r="B384" s="760" t="s">
        <v>1920</v>
      </c>
      <c r="C384" s="731">
        <v>509</v>
      </c>
      <c r="D384" s="730" t="s">
        <v>2361</v>
      </c>
      <c r="E384" s="730"/>
      <c r="F384" s="731"/>
      <c r="G384" s="730"/>
      <c r="H384" s="730"/>
      <c r="I384" s="730"/>
      <c r="J384" s="732">
        <v>0.25</v>
      </c>
      <c r="K384" s="730"/>
      <c r="L384" s="733"/>
    </row>
    <row r="385" spans="1:12" hidden="1" outlineLevel="1" x14ac:dyDescent="0.35">
      <c r="A385" s="483"/>
      <c r="B385" s="760" t="s">
        <v>1920</v>
      </c>
      <c r="C385" s="731" t="s">
        <v>200</v>
      </c>
      <c r="D385" s="730" t="s">
        <v>2362</v>
      </c>
      <c r="E385" s="730"/>
      <c r="F385" s="731"/>
      <c r="G385" s="730"/>
      <c r="H385" s="730"/>
      <c r="I385" s="730"/>
      <c r="J385" s="732">
        <v>0.25</v>
      </c>
      <c r="K385" s="730"/>
      <c r="L385" s="733"/>
    </row>
    <row r="386" spans="1:12" hidden="1" outlineLevel="1" x14ac:dyDescent="0.35">
      <c r="A386" s="483"/>
      <c r="B386" s="760" t="s">
        <v>1920</v>
      </c>
      <c r="C386" s="731">
        <v>510</v>
      </c>
      <c r="D386" s="730" t="s">
        <v>2363</v>
      </c>
      <c r="E386" s="730"/>
      <c r="F386" s="731"/>
      <c r="G386" s="730"/>
      <c r="H386" s="730"/>
      <c r="I386" s="730"/>
      <c r="J386" s="732">
        <v>0.25</v>
      </c>
      <c r="K386" s="730"/>
      <c r="L386" s="733"/>
    </row>
    <row r="387" spans="1:12" hidden="1" outlineLevel="1" x14ac:dyDescent="0.35">
      <c r="A387" s="483"/>
      <c r="B387" s="760" t="s">
        <v>1920</v>
      </c>
      <c r="C387" s="731">
        <v>511</v>
      </c>
      <c r="D387" s="730" t="s">
        <v>2364</v>
      </c>
      <c r="E387" s="730"/>
      <c r="F387" s="731"/>
      <c r="G387" s="730"/>
      <c r="H387" s="730"/>
      <c r="I387" s="730"/>
      <c r="J387" s="732">
        <v>0.25</v>
      </c>
      <c r="K387" s="730"/>
      <c r="L387" s="733"/>
    </row>
    <row r="388" spans="1:12" hidden="1" outlineLevel="1" x14ac:dyDescent="0.35">
      <c r="A388" s="483"/>
      <c r="B388" s="760" t="s">
        <v>1920</v>
      </c>
      <c r="C388" s="731">
        <v>512</v>
      </c>
      <c r="D388" s="730" t="s">
        <v>2365</v>
      </c>
      <c r="E388" s="730"/>
      <c r="F388" s="731"/>
      <c r="G388" s="730"/>
      <c r="H388" s="730"/>
      <c r="I388" s="730"/>
      <c r="J388" s="732">
        <v>0.25</v>
      </c>
      <c r="K388" s="730"/>
      <c r="L388" s="733"/>
    </row>
    <row r="389" spans="1:12" hidden="1" outlineLevel="1" x14ac:dyDescent="0.35">
      <c r="A389" s="483"/>
      <c r="B389" s="760" t="s">
        <v>1920</v>
      </c>
      <c r="C389" s="731">
        <v>513</v>
      </c>
      <c r="D389" s="730" t="s">
        <v>2204</v>
      </c>
      <c r="E389" s="730"/>
      <c r="F389" s="731"/>
      <c r="G389" s="730"/>
      <c r="H389" s="730"/>
      <c r="I389" s="730"/>
      <c r="J389" s="732">
        <v>0.25</v>
      </c>
      <c r="K389" s="730"/>
      <c r="L389" s="733"/>
    </row>
    <row r="390" spans="1:12" hidden="1" outlineLevel="1" x14ac:dyDescent="0.35">
      <c r="A390" s="483"/>
      <c r="B390" s="760" t="s">
        <v>1920</v>
      </c>
      <c r="C390" s="731" t="s">
        <v>206</v>
      </c>
      <c r="D390" s="730" t="s">
        <v>2366</v>
      </c>
      <c r="E390" s="730"/>
      <c r="F390" s="731"/>
      <c r="G390" s="730"/>
      <c r="H390" s="730"/>
      <c r="I390" s="730"/>
      <c r="J390" s="732">
        <v>0.25</v>
      </c>
      <c r="K390" s="730"/>
      <c r="L390" s="733"/>
    </row>
    <row r="391" spans="1:12" hidden="1" outlineLevel="1" x14ac:dyDescent="0.35">
      <c r="A391" s="483"/>
      <c r="B391" s="760" t="s">
        <v>1920</v>
      </c>
      <c r="C391" s="731">
        <v>514</v>
      </c>
      <c r="D391" s="730" t="s">
        <v>2367</v>
      </c>
      <c r="E391" s="730"/>
      <c r="F391" s="731"/>
      <c r="G391" s="730"/>
      <c r="H391" s="730"/>
      <c r="I391" s="730"/>
      <c r="J391" s="732">
        <v>0.25</v>
      </c>
      <c r="K391" s="730"/>
      <c r="L391" s="733"/>
    </row>
    <row r="392" spans="1:12" hidden="1" outlineLevel="1" x14ac:dyDescent="0.35">
      <c r="A392" s="483"/>
      <c r="B392" s="760" t="s">
        <v>1920</v>
      </c>
      <c r="C392" s="731">
        <v>515</v>
      </c>
      <c r="D392" s="730" t="s">
        <v>2368</v>
      </c>
      <c r="E392" s="730"/>
      <c r="F392" s="731"/>
      <c r="G392" s="730"/>
      <c r="H392" s="730"/>
      <c r="I392" s="730"/>
      <c r="J392" s="732">
        <v>0.25</v>
      </c>
      <c r="K392" s="730"/>
      <c r="L392" s="733"/>
    </row>
    <row r="393" spans="1:12" hidden="1" outlineLevel="1" x14ac:dyDescent="0.35">
      <c r="A393" s="483"/>
      <c r="B393" s="760" t="s">
        <v>1920</v>
      </c>
      <c r="C393" s="731">
        <v>516</v>
      </c>
      <c r="D393" s="730" t="s">
        <v>2369</v>
      </c>
      <c r="E393" s="730"/>
      <c r="F393" s="731"/>
      <c r="G393" s="730"/>
      <c r="H393" s="730"/>
      <c r="I393" s="730"/>
      <c r="J393" s="732">
        <v>0.25</v>
      </c>
      <c r="K393" s="730"/>
      <c r="L393" s="733"/>
    </row>
    <row r="394" spans="1:12" hidden="1" outlineLevel="1" x14ac:dyDescent="0.35">
      <c r="A394" s="483"/>
      <c r="B394" s="760" t="s">
        <v>1920</v>
      </c>
      <c r="C394" s="731">
        <v>517</v>
      </c>
      <c r="D394" s="730" t="s">
        <v>2370</v>
      </c>
      <c r="E394" s="730"/>
      <c r="F394" s="731"/>
      <c r="G394" s="730"/>
      <c r="H394" s="730"/>
      <c r="I394" s="730"/>
      <c r="J394" s="732">
        <v>0.25</v>
      </c>
      <c r="K394" s="730"/>
      <c r="L394" s="733"/>
    </row>
    <row r="395" spans="1:12" hidden="1" outlineLevel="1" x14ac:dyDescent="0.35">
      <c r="A395" s="483"/>
      <c r="B395" s="760" t="s">
        <v>1920</v>
      </c>
      <c r="C395" s="731">
        <v>518</v>
      </c>
      <c r="D395" s="730" t="s">
        <v>2371</v>
      </c>
      <c r="E395" s="730"/>
      <c r="F395" s="731"/>
      <c r="G395" s="730"/>
      <c r="H395" s="730"/>
      <c r="I395" s="730"/>
      <c r="J395" s="732">
        <v>0.25</v>
      </c>
      <c r="K395" s="730"/>
      <c r="L395" s="733"/>
    </row>
    <row r="396" spans="1:12" hidden="1" outlineLevel="1" x14ac:dyDescent="0.35">
      <c r="A396" s="483"/>
      <c r="B396" s="760" t="s">
        <v>1920</v>
      </c>
      <c r="C396" s="731">
        <v>519</v>
      </c>
      <c r="D396" s="730" t="s">
        <v>2372</v>
      </c>
      <c r="E396" s="730"/>
      <c r="F396" s="731"/>
      <c r="G396" s="730"/>
      <c r="H396" s="730"/>
      <c r="I396" s="730"/>
      <c r="J396" s="732">
        <v>0.25</v>
      </c>
      <c r="K396" s="730"/>
      <c r="L396" s="733"/>
    </row>
    <row r="397" spans="1:12" hidden="1" outlineLevel="1" x14ac:dyDescent="0.35">
      <c r="A397" s="483"/>
      <c r="B397" s="760" t="s">
        <v>1920</v>
      </c>
      <c r="C397" s="731" t="s">
        <v>214</v>
      </c>
      <c r="D397" s="730" t="s">
        <v>2373</v>
      </c>
      <c r="E397" s="730"/>
      <c r="F397" s="731"/>
      <c r="G397" s="730"/>
      <c r="H397" s="730"/>
      <c r="I397" s="730"/>
      <c r="J397" s="732">
        <v>0.25</v>
      </c>
      <c r="K397" s="730"/>
      <c r="L397" s="733"/>
    </row>
    <row r="398" spans="1:12" hidden="1" outlineLevel="1" x14ac:dyDescent="0.35">
      <c r="A398" s="483"/>
      <c r="B398" s="760" t="s">
        <v>1920</v>
      </c>
      <c r="C398" s="731" t="s">
        <v>216</v>
      </c>
      <c r="D398" s="730" t="s">
        <v>2374</v>
      </c>
      <c r="E398" s="730"/>
      <c r="F398" s="731"/>
      <c r="G398" s="730"/>
      <c r="H398" s="730"/>
      <c r="I398" s="730"/>
      <c r="J398" s="732">
        <v>0.25</v>
      </c>
      <c r="K398" s="730"/>
      <c r="L398" s="733"/>
    </row>
    <row r="399" spans="1:12" hidden="1" outlineLevel="1" x14ac:dyDescent="0.35">
      <c r="A399" s="483"/>
      <c r="B399" s="760" t="s">
        <v>1920</v>
      </c>
      <c r="C399" s="731" t="s">
        <v>218</v>
      </c>
      <c r="D399" s="730" t="s">
        <v>2375</v>
      </c>
      <c r="E399" s="730"/>
      <c r="F399" s="731"/>
      <c r="G399" s="730"/>
      <c r="H399" s="730"/>
      <c r="I399" s="730"/>
      <c r="J399" s="732">
        <v>0.25</v>
      </c>
      <c r="K399" s="730"/>
      <c r="L399" s="733"/>
    </row>
    <row r="400" spans="1:12" hidden="1" outlineLevel="1" x14ac:dyDescent="0.35">
      <c r="A400" s="483"/>
      <c r="B400" s="760" t="s">
        <v>1920</v>
      </c>
      <c r="C400" s="731" t="s">
        <v>220</v>
      </c>
      <c r="D400" s="730" t="s">
        <v>1755</v>
      </c>
      <c r="E400" s="730"/>
      <c r="F400" s="731"/>
      <c r="G400" s="730"/>
      <c r="H400" s="730"/>
      <c r="I400" s="730"/>
      <c r="J400" s="732">
        <v>0</v>
      </c>
      <c r="K400" s="730"/>
      <c r="L400" s="733"/>
    </row>
    <row r="401" spans="1:19" hidden="1" outlineLevel="1" x14ac:dyDescent="0.35">
      <c r="A401" s="483"/>
      <c r="B401" s="760" t="s">
        <v>1920</v>
      </c>
      <c r="C401" s="731" t="s">
        <v>222</v>
      </c>
      <c r="D401" s="730" t="s">
        <v>2376</v>
      </c>
      <c r="E401" s="730"/>
      <c r="F401" s="731"/>
      <c r="G401" s="730"/>
      <c r="H401" s="730"/>
      <c r="I401" s="730"/>
      <c r="J401" s="732">
        <v>0.25</v>
      </c>
      <c r="K401" s="730"/>
      <c r="L401" s="733"/>
    </row>
    <row r="402" spans="1:19" hidden="1" outlineLevel="1" x14ac:dyDescent="0.35">
      <c r="A402" s="483"/>
      <c r="B402" s="760" t="s">
        <v>1920</v>
      </c>
      <c r="C402" s="731" t="s">
        <v>224</v>
      </c>
      <c r="D402" s="730" t="s">
        <v>2377</v>
      </c>
      <c r="E402" s="730"/>
      <c r="F402" s="731"/>
      <c r="G402" s="730"/>
      <c r="H402" s="730"/>
      <c r="I402" s="730"/>
      <c r="J402" s="732">
        <v>0.25</v>
      </c>
      <c r="K402" s="730"/>
      <c r="L402" s="733"/>
    </row>
    <row r="403" spans="1:19" hidden="1" outlineLevel="1" x14ac:dyDescent="0.35">
      <c r="A403" s="483"/>
      <c r="B403" s="760" t="s">
        <v>1920</v>
      </c>
      <c r="C403" s="731">
        <v>521</v>
      </c>
      <c r="D403" s="730" t="s">
        <v>2378</v>
      </c>
      <c r="E403" s="730"/>
      <c r="F403" s="731"/>
      <c r="G403" s="730"/>
      <c r="H403" s="730"/>
      <c r="I403" s="730"/>
      <c r="J403" s="732">
        <v>0.1</v>
      </c>
      <c r="K403" s="730"/>
      <c r="L403" s="733"/>
    </row>
    <row r="404" spans="1:19" hidden="1" outlineLevel="1" x14ac:dyDescent="0.35">
      <c r="A404" s="483"/>
      <c r="B404" s="760" t="s">
        <v>1920</v>
      </c>
      <c r="C404" s="731" t="s">
        <v>227</v>
      </c>
      <c r="D404" s="730" t="s">
        <v>2379</v>
      </c>
      <c r="E404" s="730"/>
      <c r="F404" s="731"/>
      <c r="G404" s="730"/>
      <c r="H404" s="730"/>
      <c r="I404" s="730"/>
      <c r="J404" s="732">
        <v>0.25</v>
      </c>
      <c r="K404" s="730"/>
      <c r="L404" s="733"/>
    </row>
    <row r="405" spans="1:19" hidden="1" outlineLevel="1" x14ac:dyDescent="0.35">
      <c r="A405" s="483"/>
      <c r="B405" s="760" t="s">
        <v>1920</v>
      </c>
      <c r="C405" s="731">
        <v>524</v>
      </c>
      <c r="D405" s="730" t="s">
        <v>1756</v>
      </c>
      <c r="E405" s="730"/>
      <c r="F405" s="731"/>
      <c r="G405" s="730"/>
      <c r="H405" s="730"/>
      <c r="I405" s="730"/>
      <c r="J405" s="732">
        <v>0</v>
      </c>
      <c r="K405" s="730"/>
      <c r="L405" s="733"/>
    </row>
    <row r="406" spans="1:19" hidden="1" outlineLevel="1" x14ac:dyDescent="0.35">
      <c r="A406" s="483"/>
      <c r="B406" s="760" t="s">
        <v>1920</v>
      </c>
      <c r="C406" s="731">
        <v>525</v>
      </c>
      <c r="D406" s="730" t="s">
        <v>2380</v>
      </c>
      <c r="E406" s="730"/>
      <c r="F406" s="731"/>
      <c r="G406" s="730"/>
      <c r="H406" s="730"/>
      <c r="I406" s="730"/>
      <c r="J406" s="732">
        <v>0</v>
      </c>
      <c r="K406" s="730"/>
      <c r="L406" s="733"/>
    </row>
    <row r="407" spans="1:19" ht="15" hidden="1" outlineLevel="1" thickBot="1" x14ac:dyDescent="0.4">
      <c r="A407" s="483"/>
      <c r="B407" s="761"/>
      <c r="C407" s="671"/>
      <c r="D407" s="670"/>
      <c r="E407" s="670"/>
      <c r="F407" s="671"/>
      <c r="G407" s="670"/>
      <c r="H407" s="670"/>
      <c r="I407" s="670"/>
      <c r="J407" s="728"/>
      <c r="K407" s="670"/>
      <c r="L407" s="711"/>
    </row>
    <row r="408" spans="1:19" ht="15.5" collapsed="1" thickTop="1" thickBot="1" x14ac:dyDescent="0.4">
      <c r="B408" s="2"/>
    </row>
    <row r="409" spans="1:19" ht="23" thickBot="1" x14ac:dyDescent="0.4">
      <c r="B409" s="524"/>
      <c r="C409" s="525" t="s">
        <v>230</v>
      </c>
      <c r="D409" s="525"/>
      <c r="E409" s="525"/>
      <c r="F409" s="525"/>
      <c r="G409" s="525"/>
      <c r="H409" s="525"/>
      <c r="I409" s="525"/>
      <c r="J409" s="525"/>
      <c r="K409" s="527"/>
      <c r="L409" s="526"/>
    </row>
    <row r="410" spans="1:19" s="2" customFormat="1" ht="15.5" hidden="1" outlineLevel="1" thickTop="1" thickBot="1" x14ac:dyDescent="0.4">
      <c r="B410" s="721"/>
      <c r="C410" s="719" t="s">
        <v>79</v>
      </c>
      <c r="D410" s="719"/>
      <c r="E410" s="719"/>
      <c r="F410" s="719"/>
      <c r="G410" s="719"/>
      <c r="H410" s="719"/>
      <c r="I410" s="719"/>
      <c r="J410" s="719"/>
      <c r="K410" s="719"/>
      <c r="L410" s="720"/>
      <c r="M410" s="385"/>
      <c r="S410" s="783"/>
    </row>
    <row r="411" spans="1:19" ht="15" hidden="1" outlineLevel="1" thickTop="1" x14ac:dyDescent="0.35">
      <c r="A411" s="483"/>
      <c r="B411" s="759" t="s">
        <v>1921</v>
      </c>
      <c r="C411" s="757" t="s">
        <v>231</v>
      </c>
      <c r="D411" s="664"/>
      <c r="E411" s="664"/>
      <c r="F411" s="665"/>
      <c r="G411" s="664"/>
      <c r="H411" s="664"/>
      <c r="I411" s="664"/>
      <c r="J411" s="727"/>
      <c r="K411" s="664"/>
      <c r="L411" s="666"/>
    </row>
    <row r="412" spans="1:19" hidden="1" outlineLevel="1" x14ac:dyDescent="0.35">
      <c r="A412" s="483"/>
      <c r="B412" s="762" t="s">
        <v>1921</v>
      </c>
      <c r="C412" s="664" t="s">
        <v>232</v>
      </c>
      <c r="D412" s="664"/>
      <c r="E412" s="664"/>
      <c r="F412" s="665"/>
      <c r="G412" s="664"/>
      <c r="H412" s="664"/>
      <c r="I412" s="664"/>
      <c r="J412" s="727"/>
      <c r="K412" s="664"/>
      <c r="L412" s="666"/>
    </row>
    <row r="413" spans="1:19" hidden="1" outlineLevel="1" x14ac:dyDescent="0.35">
      <c r="A413" s="483"/>
      <c r="B413" s="762" t="s">
        <v>1921</v>
      </c>
      <c r="C413" s="664" t="s">
        <v>233</v>
      </c>
      <c r="D413" s="664"/>
      <c r="E413" s="664"/>
      <c r="F413" s="665"/>
      <c r="G413" s="664"/>
      <c r="H413" s="664"/>
      <c r="I413" s="664"/>
      <c r="J413" s="727"/>
      <c r="K413" s="664"/>
      <c r="L413" s="666"/>
    </row>
    <row r="414" spans="1:19" hidden="1" outlineLevel="1" x14ac:dyDescent="0.35">
      <c r="A414" s="483"/>
      <c r="B414" s="762" t="s">
        <v>1921</v>
      </c>
      <c r="C414" s="664" t="s">
        <v>234</v>
      </c>
      <c r="D414" s="664"/>
      <c r="E414" s="664"/>
      <c r="F414" s="665"/>
      <c r="G414" s="664"/>
      <c r="H414" s="664"/>
      <c r="I414" s="664"/>
      <c r="J414" s="727"/>
      <c r="K414" s="664"/>
      <c r="L414" s="666"/>
    </row>
    <row r="415" spans="1:19" hidden="1" outlineLevel="1" x14ac:dyDescent="0.35">
      <c r="A415" s="483"/>
      <c r="B415" s="762" t="s">
        <v>1921</v>
      </c>
      <c r="C415" s="664" t="s">
        <v>235</v>
      </c>
      <c r="D415" s="664"/>
      <c r="E415" s="664"/>
      <c r="F415" s="665"/>
      <c r="G415" s="664"/>
      <c r="H415" s="664"/>
      <c r="I415" s="664"/>
      <c r="J415" s="727"/>
      <c r="K415" s="664"/>
      <c r="L415" s="666"/>
    </row>
    <row r="416" spans="1:19" hidden="1" outlineLevel="1" x14ac:dyDescent="0.35">
      <c r="A416" s="483"/>
      <c r="B416" s="762" t="s">
        <v>1921</v>
      </c>
      <c r="C416" s="664" t="s">
        <v>236</v>
      </c>
      <c r="D416" s="664"/>
      <c r="E416" s="664"/>
      <c r="F416" s="665"/>
      <c r="G416" s="664"/>
      <c r="H416" s="664"/>
      <c r="I416" s="664"/>
      <c r="J416" s="727"/>
      <c r="K416" s="664"/>
      <c r="L416" s="666"/>
    </row>
    <row r="417" spans="1:12" hidden="1" outlineLevel="1" x14ac:dyDescent="0.35">
      <c r="A417" s="483"/>
      <c r="B417" s="762" t="s">
        <v>1921</v>
      </c>
      <c r="C417" s="664" t="s">
        <v>237</v>
      </c>
      <c r="D417" s="664"/>
      <c r="E417" s="664"/>
      <c r="F417" s="665"/>
      <c r="G417" s="664"/>
      <c r="H417" s="664"/>
      <c r="I417" s="664"/>
      <c r="J417" s="727"/>
      <c r="K417" s="664"/>
      <c r="L417" s="666"/>
    </row>
    <row r="418" spans="1:12" hidden="1" outlineLevel="1" x14ac:dyDescent="0.35">
      <c r="A418" s="483"/>
      <c r="B418" s="762" t="s">
        <v>1921</v>
      </c>
      <c r="C418" s="664" t="s">
        <v>238</v>
      </c>
      <c r="D418" s="664"/>
      <c r="E418" s="664"/>
      <c r="F418" s="665"/>
      <c r="G418" s="664"/>
      <c r="H418" s="664"/>
      <c r="I418" s="664"/>
      <c r="J418" s="727"/>
      <c r="K418" s="664"/>
      <c r="L418" s="666"/>
    </row>
    <row r="419" spans="1:12" hidden="1" outlineLevel="1" x14ac:dyDescent="0.35">
      <c r="A419" s="483"/>
      <c r="B419" s="762" t="s">
        <v>1921</v>
      </c>
      <c r="C419" s="664" t="s">
        <v>239</v>
      </c>
      <c r="D419" s="664"/>
      <c r="E419" s="664"/>
      <c r="F419" s="665"/>
      <c r="G419" s="664"/>
      <c r="H419" s="664"/>
      <c r="I419" s="664"/>
      <c r="J419" s="727"/>
      <c r="K419" s="664"/>
      <c r="L419" s="666"/>
    </row>
    <row r="420" spans="1:12" hidden="1" outlineLevel="1" x14ac:dyDescent="0.35">
      <c r="A420" s="483"/>
      <c r="B420" s="762" t="s">
        <v>1921</v>
      </c>
      <c r="C420" s="664" t="s">
        <v>240</v>
      </c>
      <c r="D420" s="664"/>
      <c r="E420" s="664"/>
      <c r="F420" s="665"/>
      <c r="G420" s="664"/>
      <c r="H420" s="664"/>
      <c r="I420" s="664"/>
      <c r="J420" s="727"/>
      <c r="K420" s="664"/>
      <c r="L420" s="666"/>
    </row>
    <row r="421" spans="1:12" hidden="1" outlineLevel="1" x14ac:dyDescent="0.35">
      <c r="A421" s="483"/>
      <c r="B421" s="762" t="s">
        <v>1921</v>
      </c>
      <c r="C421" s="664" t="s">
        <v>241</v>
      </c>
      <c r="D421" s="664"/>
      <c r="E421" s="664"/>
      <c r="F421" s="665"/>
      <c r="G421" s="664"/>
      <c r="H421" s="664"/>
      <c r="I421" s="664"/>
      <c r="J421" s="727"/>
      <c r="K421" s="664"/>
      <c r="L421" s="666"/>
    </row>
    <row r="422" spans="1:12" hidden="1" outlineLevel="1" x14ac:dyDescent="0.35">
      <c r="A422" s="483"/>
      <c r="B422" s="762" t="s">
        <v>1921</v>
      </c>
      <c r="C422" s="664" t="s">
        <v>242</v>
      </c>
      <c r="D422" s="664"/>
      <c r="E422" s="664"/>
      <c r="F422" s="665"/>
      <c r="G422" s="664"/>
      <c r="H422" s="664"/>
      <c r="I422" s="664"/>
      <c r="J422" s="727"/>
      <c r="K422" s="664"/>
      <c r="L422" s="666"/>
    </row>
    <row r="423" spans="1:12" hidden="1" outlineLevel="1" x14ac:dyDescent="0.35">
      <c r="A423" s="483"/>
      <c r="B423" s="762" t="s">
        <v>1921</v>
      </c>
      <c r="C423" s="664" t="s">
        <v>243</v>
      </c>
      <c r="D423" s="664"/>
      <c r="E423" s="664"/>
      <c r="F423" s="665"/>
      <c r="G423" s="664"/>
      <c r="H423" s="664"/>
      <c r="I423" s="664"/>
      <c r="J423" s="727"/>
      <c r="K423" s="664"/>
      <c r="L423" s="666"/>
    </row>
    <row r="424" spans="1:12" hidden="1" outlineLevel="1" x14ac:dyDescent="0.35">
      <c r="A424" s="483"/>
      <c r="B424" s="762" t="s">
        <v>1921</v>
      </c>
      <c r="C424" s="664" t="s">
        <v>244</v>
      </c>
      <c r="D424" s="664"/>
      <c r="E424" s="664"/>
      <c r="F424" s="665"/>
      <c r="G424" s="664"/>
      <c r="H424" s="664"/>
      <c r="I424" s="664"/>
      <c r="J424" s="727"/>
      <c r="K424" s="664"/>
      <c r="L424" s="666"/>
    </row>
    <row r="425" spans="1:12" hidden="1" outlineLevel="1" x14ac:dyDescent="0.35">
      <c r="A425" s="483"/>
      <c r="B425" s="762" t="s">
        <v>1921</v>
      </c>
      <c r="C425" s="664" t="s">
        <v>245</v>
      </c>
      <c r="D425" s="664"/>
      <c r="E425" s="664"/>
      <c r="F425" s="665"/>
      <c r="G425" s="664"/>
      <c r="H425" s="664"/>
      <c r="I425" s="664"/>
      <c r="J425" s="727"/>
      <c r="K425" s="664"/>
      <c r="L425" s="666"/>
    </row>
    <row r="426" spans="1:12" hidden="1" outlineLevel="1" x14ac:dyDescent="0.35">
      <c r="A426" s="483"/>
      <c r="B426" s="762" t="s">
        <v>1921</v>
      </c>
      <c r="C426" s="664" t="s">
        <v>246</v>
      </c>
      <c r="D426" s="664"/>
      <c r="E426" s="664"/>
      <c r="F426" s="665"/>
      <c r="G426" s="664"/>
      <c r="H426" s="664"/>
      <c r="I426" s="664"/>
      <c r="J426" s="727"/>
      <c r="K426" s="664"/>
      <c r="L426" s="666"/>
    </row>
    <row r="427" spans="1:12" hidden="1" outlineLevel="1" x14ac:dyDescent="0.35">
      <c r="A427" s="483"/>
      <c r="B427" s="762" t="s">
        <v>1921</v>
      </c>
      <c r="C427" s="664" t="s">
        <v>247</v>
      </c>
      <c r="D427" s="664"/>
      <c r="E427" s="664"/>
      <c r="F427" s="665"/>
      <c r="G427" s="664"/>
      <c r="H427" s="664"/>
      <c r="I427" s="664"/>
      <c r="J427" s="727"/>
      <c r="K427" s="664"/>
      <c r="L427" s="666"/>
    </row>
    <row r="428" spans="1:12" hidden="1" outlineLevel="1" x14ac:dyDescent="0.35">
      <c r="A428" s="483"/>
      <c r="B428" s="762" t="s">
        <v>1921</v>
      </c>
      <c r="C428" s="664" t="s">
        <v>248</v>
      </c>
      <c r="D428" s="664"/>
      <c r="E428" s="664"/>
      <c r="F428" s="665"/>
      <c r="G428" s="664"/>
      <c r="H428" s="664"/>
      <c r="I428" s="664"/>
      <c r="J428" s="727"/>
      <c r="K428" s="664"/>
      <c r="L428" s="666"/>
    </row>
    <row r="429" spans="1:12" hidden="1" outlineLevel="1" x14ac:dyDescent="0.35">
      <c r="A429" s="483"/>
      <c r="B429" s="762" t="s">
        <v>1921</v>
      </c>
      <c r="C429" s="664" t="s">
        <v>249</v>
      </c>
      <c r="D429" s="664"/>
      <c r="E429" s="664"/>
      <c r="F429" s="665"/>
      <c r="G429" s="664"/>
      <c r="H429" s="664"/>
      <c r="I429" s="664"/>
      <c r="J429" s="727"/>
      <c r="K429" s="664"/>
      <c r="L429" s="666"/>
    </row>
    <row r="430" spans="1:12" hidden="1" outlineLevel="1" x14ac:dyDescent="0.35">
      <c r="A430" s="483"/>
      <c r="B430" s="762" t="s">
        <v>1921</v>
      </c>
      <c r="C430" s="664" t="s">
        <v>250</v>
      </c>
      <c r="D430" s="664"/>
      <c r="E430" s="664"/>
      <c r="F430" s="665"/>
      <c r="G430" s="664"/>
      <c r="H430" s="664"/>
      <c r="I430" s="664"/>
      <c r="J430" s="727"/>
      <c r="K430" s="664"/>
      <c r="L430" s="666"/>
    </row>
    <row r="431" spans="1:12" hidden="1" outlineLevel="1" x14ac:dyDescent="0.35">
      <c r="A431" s="483"/>
      <c r="B431" s="762" t="s">
        <v>1921</v>
      </c>
      <c r="C431" s="664" t="s">
        <v>251</v>
      </c>
      <c r="D431" s="664"/>
      <c r="E431" s="664"/>
      <c r="F431" s="665"/>
      <c r="G431" s="664"/>
      <c r="H431" s="664"/>
      <c r="I431" s="664"/>
      <c r="J431" s="727"/>
      <c r="K431" s="664"/>
      <c r="L431" s="666"/>
    </row>
    <row r="432" spans="1:12" hidden="1" outlineLevel="1" x14ac:dyDescent="0.35">
      <c r="A432" s="483"/>
      <c r="B432" s="762" t="s">
        <v>1921</v>
      </c>
      <c r="C432" s="664" t="s">
        <v>252</v>
      </c>
      <c r="D432" s="664"/>
      <c r="E432" s="664"/>
      <c r="F432" s="665"/>
      <c r="G432" s="664"/>
      <c r="H432" s="664"/>
      <c r="I432" s="664"/>
      <c r="J432" s="727"/>
      <c r="K432" s="664"/>
      <c r="L432" s="666"/>
    </row>
    <row r="433" spans="1:12" hidden="1" outlineLevel="1" x14ac:dyDescent="0.35">
      <c r="A433" s="483"/>
      <c r="B433" s="762" t="s">
        <v>1921</v>
      </c>
      <c r="C433" s="664" t="s">
        <v>253</v>
      </c>
      <c r="D433" s="664"/>
      <c r="E433" s="664"/>
      <c r="F433" s="665"/>
      <c r="G433" s="664"/>
      <c r="H433" s="664"/>
      <c r="I433" s="664"/>
      <c r="J433" s="727"/>
      <c r="K433" s="664"/>
      <c r="L433" s="666"/>
    </row>
    <row r="434" spans="1:12" hidden="1" outlineLevel="1" x14ac:dyDescent="0.35">
      <c r="A434" s="483"/>
      <c r="B434" s="762" t="s">
        <v>1921</v>
      </c>
      <c r="C434" s="664" t="s">
        <v>254</v>
      </c>
      <c r="D434" s="664"/>
      <c r="E434" s="664"/>
      <c r="F434" s="665"/>
      <c r="G434" s="664"/>
      <c r="H434" s="664"/>
      <c r="I434" s="664"/>
      <c r="J434" s="727"/>
      <c r="K434" s="664"/>
      <c r="L434" s="666"/>
    </row>
    <row r="435" spans="1:12" hidden="1" outlineLevel="1" x14ac:dyDescent="0.35">
      <c r="A435" s="483"/>
      <c r="B435" s="762" t="s">
        <v>1921</v>
      </c>
      <c r="C435" s="664" t="s">
        <v>255</v>
      </c>
      <c r="D435" s="664"/>
      <c r="E435" s="664"/>
      <c r="F435" s="665"/>
      <c r="G435" s="664"/>
      <c r="H435" s="664"/>
      <c r="I435" s="664"/>
      <c r="J435" s="727"/>
      <c r="K435" s="664"/>
      <c r="L435" s="666"/>
    </row>
    <row r="436" spans="1:12" hidden="1" outlineLevel="1" x14ac:dyDescent="0.35">
      <c r="A436" s="483"/>
      <c r="B436" s="762" t="s">
        <v>1921</v>
      </c>
      <c r="C436" s="664" t="s">
        <v>256</v>
      </c>
      <c r="D436" s="664"/>
      <c r="E436" s="664"/>
      <c r="F436" s="665"/>
      <c r="G436" s="664"/>
      <c r="H436" s="664"/>
      <c r="I436" s="664"/>
      <c r="J436" s="727"/>
      <c r="K436" s="664"/>
      <c r="L436" s="666"/>
    </row>
    <row r="437" spans="1:12" hidden="1" outlineLevel="1" x14ac:dyDescent="0.35">
      <c r="A437" s="483"/>
      <c r="B437" s="762" t="s">
        <v>1921</v>
      </c>
      <c r="C437" s="664" t="s">
        <v>257</v>
      </c>
      <c r="D437" s="664"/>
      <c r="E437" s="664"/>
      <c r="F437" s="665"/>
      <c r="G437" s="664"/>
      <c r="H437" s="664"/>
      <c r="I437" s="664"/>
      <c r="J437" s="727"/>
      <c r="K437" s="664"/>
      <c r="L437" s="666"/>
    </row>
    <row r="438" spans="1:12" hidden="1" outlineLevel="1" x14ac:dyDescent="0.35">
      <c r="A438" s="483"/>
      <c r="B438" s="762" t="s">
        <v>1921</v>
      </c>
      <c r="C438" s="664" t="s">
        <v>258</v>
      </c>
      <c r="D438" s="664"/>
      <c r="E438" s="664"/>
      <c r="F438" s="665"/>
      <c r="G438" s="664"/>
      <c r="H438" s="664"/>
      <c r="I438" s="664"/>
      <c r="J438" s="727"/>
      <c r="K438" s="664"/>
      <c r="L438" s="666"/>
    </row>
    <row r="439" spans="1:12" hidden="1" outlineLevel="1" x14ac:dyDescent="0.35">
      <c r="A439" s="483"/>
      <c r="B439" s="762" t="s">
        <v>1921</v>
      </c>
      <c r="C439" s="664" t="s">
        <v>259</v>
      </c>
      <c r="D439" s="664"/>
      <c r="E439" s="664"/>
      <c r="F439" s="665"/>
      <c r="G439" s="664"/>
      <c r="H439" s="664"/>
      <c r="I439" s="664"/>
      <c r="J439" s="727"/>
      <c r="K439" s="664"/>
      <c r="L439" s="666"/>
    </row>
    <row r="440" spans="1:12" hidden="1" outlineLevel="1" x14ac:dyDescent="0.35">
      <c r="A440" s="483"/>
      <c r="B440" s="762" t="s">
        <v>1921</v>
      </c>
      <c r="C440" s="664" t="s">
        <v>260</v>
      </c>
      <c r="D440" s="664"/>
      <c r="E440" s="664"/>
      <c r="F440" s="665"/>
      <c r="G440" s="664"/>
      <c r="H440" s="664"/>
      <c r="I440" s="664"/>
      <c r="J440" s="727"/>
      <c r="K440" s="664"/>
      <c r="L440" s="666"/>
    </row>
    <row r="441" spans="1:12" hidden="1" outlineLevel="1" x14ac:dyDescent="0.35">
      <c r="A441" s="483"/>
      <c r="B441" s="762" t="s">
        <v>1921</v>
      </c>
      <c r="C441" s="664" t="s">
        <v>261</v>
      </c>
      <c r="D441" s="664"/>
      <c r="E441" s="664"/>
      <c r="F441" s="665"/>
      <c r="G441" s="664"/>
      <c r="H441" s="664"/>
      <c r="I441" s="664"/>
      <c r="J441" s="727"/>
      <c r="K441" s="664"/>
      <c r="L441" s="666"/>
    </row>
    <row r="442" spans="1:12" hidden="1" outlineLevel="1" x14ac:dyDescent="0.35">
      <c r="A442" s="483"/>
      <c r="B442" s="762" t="s">
        <v>1921</v>
      </c>
      <c r="C442" s="664" t="s">
        <v>262</v>
      </c>
      <c r="D442" s="664"/>
      <c r="E442" s="664"/>
      <c r="F442" s="665"/>
      <c r="G442" s="664"/>
      <c r="H442" s="664"/>
      <c r="I442" s="664"/>
      <c r="J442" s="727"/>
      <c r="K442" s="664"/>
      <c r="L442" s="666"/>
    </row>
    <row r="443" spans="1:12" hidden="1" outlineLevel="1" x14ac:dyDescent="0.35">
      <c r="A443" s="483"/>
      <c r="B443" s="762" t="s">
        <v>1921</v>
      </c>
      <c r="C443" s="664" t="s">
        <v>263</v>
      </c>
      <c r="D443" s="664"/>
      <c r="E443" s="664"/>
      <c r="F443" s="665"/>
      <c r="G443" s="664"/>
      <c r="H443" s="664"/>
      <c r="I443" s="664"/>
      <c r="J443" s="727"/>
      <c r="K443" s="664"/>
      <c r="L443" s="666"/>
    </row>
    <row r="444" spans="1:12" hidden="1" outlineLevel="1" x14ac:dyDescent="0.35">
      <c r="A444" s="483"/>
      <c r="B444" s="762" t="s">
        <v>1921</v>
      </c>
      <c r="C444" s="664" t="s">
        <v>264</v>
      </c>
      <c r="D444" s="664"/>
      <c r="E444" s="664"/>
      <c r="F444" s="665"/>
      <c r="G444" s="664"/>
      <c r="H444" s="664"/>
      <c r="I444" s="664"/>
      <c r="J444" s="727"/>
      <c r="K444" s="664"/>
      <c r="L444" s="666"/>
    </row>
    <row r="445" spans="1:12" hidden="1" outlineLevel="1" x14ac:dyDescent="0.35">
      <c r="A445" s="483"/>
      <c r="B445" s="762" t="s">
        <v>1921</v>
      </c>
      <c r="C445" s="664" t="s">
        <v>265</v>
      </c>
      <c r="D445" s="664"/>
      <c r="E445" s="664"/>
      <c r="F445" s="665"/>
      <c r="G445" s="664"/>
      <c r="H445" s="664"/>
      <c r="I445" s="664"/>
      <c r="J445" s="727"/>
      <c r="K445" s="664"/>
      <c r="L445" s="666"/>
    </row>
    <row r="446" spans="1:12" hidden="1" outlineLevel="1" x14ac:dyDescent="0.35">
      <c r="A446" s="483"/>
      <c r="B446" s="762" t="s">
        <v>1921</v>
      </c>
      <c r="C446" s="664" t="s">
        <v>266</v>
      </c>
      <c r="D446" s="664"/>
      <c r="E446" s="664"/>
      <c r="F446" s="665"/>
      <c r="G446" s="664"/>
      <c r="H446" s="664"/>
      <c r="I446" s="664"/>
      <c r="J446" s="727"/>
      <c r="K446" s="664"/>
      <c r="L446" s="666"/>
    </row>
    <row r="447" spans="1:12" hidden="1" outlineLevel="1" x14ac:dyDescent="0.35">
      <c r="A447" s="483"/>
      <c r="B447" s="762" t="s">
        <v>1921</v>
      </c>
      <c r="C447" s="664" t="s">
        <v>267</v>
      </c>
      <c r="D447" s="664"/>
      <c r="E447" s="664"/>
      <c r="F447" s="665"/>
      <c r="G447" s="664"/>
      <c r="H447" s="664"/>
      <c r="I447" s="664"/>
      <c r="J447" s="727"/>
      <c r="K447" s="664"/>
      <c r="L447" s="666"/>
    </row>
    <row r="448" spans="1:12" hidden="1" outlineLevel="1" x14ac:dyDescent="0.35">
      <c r="A448" s="483"/>
      <c r="B448" s="762" t="s">
        <v>1921</v>
      </c>
      <c r="C448" s="664" t="s">
        <v>268</v>
      </c>
      <c r="D448" s="664"/>
      <c r="E448" s="664"/>
      <c r="F448" s="665"/>
      <c r="G448" s="664"/>
      <c r="H448" s="664"/>
      <c r="I448" s="664"/>
      <c r="J448" s="727"/>
      <c r="K448" s="664"/>
      <c r="L448" s="666"/>
    </row>
    <row r="449" spans="1:12" hidden="1" outlineLevel="1" x14ac:dyDescent="0.35">
      <c r="A449" s="483"/>
      <c r="B449" s="762" t="s">
        <v>1921</v>
      </c>
      <c r="C449" s="664" t="s">
        <v>269</v>
      </c>
      <c r="D449" s="664"/>
      <c r="E449" s="664"/>
      <c r="F449" s="665"/>
      <c r="G449" s="664"/>
      <c r="H449" s="664"/>
      <c r="I449" s="664"/>
      <c r="J449" s="727"/>
      <c r="K449" s="664"/>
      <c r="L449" s="666"/>
    </row>
    <row r="450" spans="1:12" hidden="1" outlineLevel="1" x14ac:dyDescent="0.35">
      <c r="A450" s="483"/>
      <c r="B450" s="762" t="s">
        <v>1921</v>
      </c>
      <c r="C450" s="664" t="s">
        <v>270</v>
      </c>
      <c r="D450" s="664"/>
      <c r="E450" s="664"/>
      <c r="F450" s="665"/>
      <c r="G450" s="664"/>
      <c r="H450" s="664"/>
      <c r="I450" s="664"/>
      <c r="J450" s="727"/>
      <c r="K450" s="664"/>
      <c r="L450" s="666"/>
    </row>
    <row r="451" spans="1:12" hidden="1" outlineLevel="1" x14ac:dyDescent="0.35">
      <c r="A451" s="483"/>
      <c r="B451" s="762" t="s">
        <v>1921</v>
      </c>
      <c r="C451" s="664" t="s">
        <v>271</v>
      </c>
      <c r="D451" s="664"/>
      <c r="E451" s="664"/>
      <c r="F451" s="665"/>
      <c r="G451" s="664"/>
      <c r="H451" s="664"/>
      <c r="I451" s="664"/>
      <c r="J451" s="727"/>
      <c r="K451" s="664"/>
      <c r="L451" s="666"/>
    </row>
    <row r="452" spans="1:12" hidden="1" outlineLevel="1" x14ac:dyDescent="0.35">
      <c r="A452" s="483"/>
      <c r="B452" s="762" t="s">
        <v>1921</v>
      </c>
      <c r="C452" s="664" t="s">
        <v>272</v>
      </c>
      <c r="D452" s="664"/>
      <c r="E452" s="664"/>
      <c r="F452" s="665"/>
      <c r="G452" s="664"/>
      <c r="H452" s="664"/>
      <c r="I452" s="664"/>
      <c r="J452" s="727"/>
      <c r="K452" s="664"/>
      <c r="L452" s="666"/>
    </row>
    <row r="453" spans="1:12" hidden="1" outlineLevel="1" x14ac:dyDescent="0.35">
      <c r="A453" s="483"/>
      <c r="B453" s="762" t="s">
        <v>1921</v>
      </c>
      <c r="C453" s="664" t="s">
        <v>273</v>
      </c>
      <c r="D453" s="664"/>
      <c r="E453" s="664"/>
      <c r="F453" s="665"/>
      <c r="G453" s="664"/>
      <c r="H453" s="664"/>
      <c r="I453" s="664"/>
      <c r="J453" s="727"/>
      <c r="K453" s="664"/>
      <c r="L453" s="666"/>
    </row>
    <row r="454" spans="1:12" hidden="1" outlineLevel="1" x14ac:dyDescent="0.35">
      <c r="A454" s="483"/>
      <c r="B454" s="762" t="s">
        <v>1921</v>
      </c>
      <c r="C454" s="664" t="s">
        <v>274</v>
      </c>
      <c r="D454" s="664"/>
      <c r="E454" s="664"/>
      <c r="F454" s="665"/>
      <c r="G454" s="664"/>
      <c r="H454" s="664"/>
      <c r="I454" s="664"/>
      <c r="J454" s="727"/>
      <c r="K454" s="664"/>
      <c r="L454" s="666"/>
    </row>
    <row r="455" spans="1:12" hidden="1" outlineLevel="1" x14ac:dyDescent="0.35">
      <c r="A455" s="483"/>
      <c r="B455" s="762" t="s">
        <v>1921</v>
      </c>
      <c r="C455" s="664" t="s">
        <v>275</v>
      </c>
      <c r="D455" s="664"/>
      <c r="E455" s="664"/>
      <c r="F455" s="665"/>
      <c r="G455" s="664"/>
      <c r="H455" s="664"/>
      <c r="I455" s="664"/>
      <c r="J455" s="727"/>
      <c r="K455" s="664"/>
      <c r="L455" s="666"/>
    </row>
    <row r="456" spans="1:12" hidden="1" outlineLevel="1" x14ac:dyDescent="0.35">
      <c r="A456" s="483"/>
      <c r="B456" s="762" t="s">
        <v>1921</v>
      </c>
      <c r="C456" s="664" t="s">
        <v>276</v>
      </c>
      <c r="D456" s="664"/>
      <c r="E456" s="664"/>
      <c r="F456" s="665"/>
      <c r="G456" s="664"/>
      <c r="H456" s="664"/>
      <c r="I456" s="664"/>
      <c r="J456" s="727"/>
      <c r="K456" s="664"/>
      <c r="L456" s="666"/>
    </row>
    <row r="457" spans="1:12" hidden="1" outlineLevel="1" x14ac:dyDescent="0.35">
      <c r="A457" s="483"/>
      <c r="B457" s="762" t="s">
        <v>1921</v>
      </c>
      <c r="C457" s="664" t="s">
        <v>277</v>
      </c>
      <c r="D457" s="664"/>
      <c r="E457" s="664"/>
      <c r="F457" s="665"/>
      <c r="G457" s="664"/>
      <c r="H457" s="664"/>
      <c r="I457" s="664"/>
      <c r="J457" s="727"/>
      <c r="K457" s="664"/>
      <c r="L457" s="666"/>
    </row>
    <row r="458" spans="1:12" hidden="1" outlineLevel="1" x14ac:dyDescent="0.35">
      <c r="A458" s="483"/>
      <c r="B458" s="762" t="s">
        <v>1921</v>
      </c>
      <c r="C458" s="664" t="s">
        <v>278</v>
      </c>
      <c r="D458" s="664"/>
      <c r="E458" s="664"/>
      <c r="F458" s="665"/>
      <c r="G458" s="664"/>
      <c r="H458" s="664"/>
      <c r="I458" s="664"/>
      <c r="J458" s="727"/>
      <c r="K458" s="664"/>
      <c r="L458" s="666"/>
    </row>
    <row r="459" spans="1:12" hidden="1" outlineLevel="1" x14ac:dyDescent="0.35">
      <c r="A459" s="483"/>
      <c r="B459" s="762" t="s">
        <v>1921</v>
      </c>
      <c r="C459" s="664" t="s">
        <v>279</v>
      </c>
      <c r="D459" s="664"/>
      <c r="E459" s="664"/>
      <c r="F459" s="665"/>
      <c r="G459" s="664"/>
      <c r="H459" s="664"/>
      <c r="I459" s="664"/>
      <c r="J459" s="727"/>
      <c r="K459" s="664"/>
      <c r="L459" s="666"/>
    </row>
    <row r="460" spans="1:12" hidden="1" outlineLevel="1" x14ac:dyDescent="0.35">
      <c r="A460" s="483"/>
      <c r="B460" s="762" t="s">
        <v>1921</v>
      </c>
      <c r="C460" s="664" t="s">
        <v>280</v>
      </c>
      <c r="D460" s="664"/>
      <c r="E460" s="664"/>
      <c r="F460" s="665"/>
      <c r="G460" s="664"/>
      <c r="H460" s="664"/>
      <c r="I460" s="664"/>
      <c r="J460" s="727"/>
      <c r="K460" s="664"/>
      <c r="L460" s="666"/>
    </row>
    <row r="461" spans="1:12" hidden="1" outlineLevel="1" x14ac:dyDescent="0.35">
      <c r="A461" s="483"/>
      <c r="B461" s="762" t="s">
        <v>1921</v>
      </c>
      <c r="C461" s="664" t="s">
        <v>281</v>
      </c>
      <c r="D461" s="664"/>
      <c r="E461" s="664"/>
      <c r="F461" s="665"/>
      <c r="G461" s="664"/>
      <c r="H461" s="664"/>
      <c r="I461" s="664"/>
      <c r="J461" s="727"/>
      <c r="K461" s="664"/>
      <c r="L461" s="666"/>
    </row>
    <row r="462" spans="1:12" hidden="1" outlineLevel="1" x14ac:dyDescent="0.35">
      <c r="A462" s="483"/>
      <c r="B462" s="762" t="s">
        <v>1921</v>
      </c>
      <c r="C462" s="664" t="s">
        <v>282</v>
      </c>
      <c r="D462" s="664"/>
      <c r="E462" s="664"/>
      <c r="F462" s="665"/>
      <c r="G462" s="664"/>
      <c r="H462" s="664"/>
      <c r="I462" s="664"/>
      <c r="J462" s="727"/>
      <c r="K462" s="664"/>
      <c r="L462" s="666"/>
    </row>
    <row r="463" spans="1:12" hidden="1" outlineLevel="1" x14ac:dyDescent="0.35">
      <c r="A463" s="483"/>
      <c r="B463" s="762" t="s">
        <v>1921</v>
      </c>
      <c r="C463" s="664" t="s">
        <v>283</v>
      </c>
      <c r="D463" s="664"/>
      <c r="E463" s="664"/>
      <c r="F463" s="665"/>
      <c r="G463" s="664"/>
      <c r="H463" s="664"/>
      <c r="I463" s="664"/>
      <c r="J463" s="727"/>
      <c r="K463" s="664"/>
      <c r="L463" s="666"/>
    </row>
    <row r="464" spans="1:12" hidden="1" outlineLevel="1" x14ac:dyDescent="0.35">
      <c r="A464" s="483"/>
      <c r="B464" s="762" t="s">
        <v>1921</v>
      </c>
      <c r="C464" s="664" t="s">
        <v>284</v>
      </c>
      <c r="D464" s="664"/>
      <c r="E464" s="664"/>
      <c r="F464" s="665"/>
      <c r="G464" s="664"/>
      <c r="H464" s="664"/>
      <c r="I464" s="664"/>
      <c r="J464" s="727"/>
      <c r="K464" s="664"/>
      <c r="L464" s="666"/>
    </row>
    <row r="465" spans="1:12" hidden="1" outlineLevel="1" x14ac:dyDescent="0.35">
      <c r="A465" s="483"/>
      <c r="B465" s="762" t="s">
        <v>1921</v>
      </c>
      <c r="C465" s="664" t="s">
        <v>285</v>
      </c>
      <c r="D465" s="664"/>
      <c r="E465" s="664"/>
      <c r="F465" s="665"/>
      <c r="G465" s="664"/>
      <c r="H465" s="664"/>
      <c r="I465" s="664"/>
      <c r="J465" s="727"/>
      <c r="K465" s="664"/>
      <c r="L465" s="666"/>
    </row>
    <row r="466" spans="1:12" hidden="1" outlineLevel="1" x14ac:dyDescent="0.35">
      <c r="A466" s="483"/>
      <c r="B466" s="762" t="s">
        <v>1921</v>
      </c>
      <c r="C466" s="664" t="s">
        <v>286</v>
      </c>
      <c r="D466" s="664"/>
      <c r="E466" s="664"/>
      <c r="F466" s="665"/>
      <c r="G466" s="664"/>
      <c r="H466" s="664"/>
      <c r="I466" s="664"/>
      <c r="J466" s="727"/>
      <c r="K466" s="664"/>
      <c r="L466" s="666"/>
    </row>
    <row r="467" spans="1:12" hidden="1" outlineLevel="1" x14ac:dyDescent="0.35">
      <c r="A467" s="483"/>
      <c r="B467" s="762" t="s">
        <v>1921</v>
      </c>
      <c r="C467" s="664" t="s">
        <v>287</v>
      </c>
      <c r="D467" s="664"/>
      <c r="E467" s="664"/>
      <c r="F467" s="665"/>
      <c r="G467" s="664"/>
      <c r="H467" s="664"/>
      <c r="I467" s="664"/>
      <c r="J467" s="727"/>
      <c r="K467" s="664"/>
      <c r="L467" s="666"/>
    </row>
    <row r="468" spans="1:12" hidden="1" outlineLevel="1" x14ac:dyDescent="0.35">
      <c r="A468" s="483"/>
      <c r="B468" s="762" t="s">
        <v>1921</v>
      </c>
      <c r="C468" s="664" t="s">
        <v>288</v>
      </c>
      <c r="D468" s="664"/>
      <c r="E468" s="664"/>
      <c r="F468" s="665"/>
      <c r="G468" s="664"/>
      <c r="H468" s="664"/>
      <c r="I468" s="664"/>
      <c r="J468" s="727"/>
      <c r="K468" s="664"/>
      <c r="L468" s="666"/>
    </row>
    <row r="469" spans="1:12" hidden="1" outlineLevel="1" x14ac:dyDescent="0.35">
      <c r="A469" s="483"/>
      <c r="B469" s="762" t="s">
        <v>1921</v>
      </c>
      <c r="C469" s="664" t="s">
        <v>289</v>
      </c>
      <c r="D469" s="664"/>
      <c r="E469" s="664"/>
      <c r="F469" s="665"/>
      <c r="G469" s="664"/>
      <c r="H469" s="664"/>
      <c r="I469" s="664"/>
      <c r="J469" s="727"/>
      <c r="K469" s="664"/>
      <c r="L469" s="666"/>
    </row>
    <row r="470" spans="1:12" hidden="1" outlineLevel="1" x14ac:dyDescent="0.35">
      <c r="A470" s="483"/>
      <c r="B470" s="762" t="s">
        <v>1921</v>
      </c>
      <c r="C470" s="664" t="s">
        <v>290</v>
      </c>
      <c r="D470" s="664"/>
      <c r="E470" s="664"/>
      <c r="F470" s="665"/>
      <c r="G470" s="664"/>
      <c r="H470" s="664"/>
      <c r="I470" s="664"/>
      <c r="J470" s="727"/>
      <c r="K470" s="664"/>
      <c r="L470" s="666"/>
    </row>
    <row r="471" spans="1:12" hidden="1" outlineLevel="1" x14ac:dyDescent="0.35">
      <c r="A471" s="483"/>
      <c r="B471" s="762" t="s">
        <v>1921</v>
      </c>
      <c r="C471" s="664" t="s">
        <v>291</v>
      </c>
      <c r="D471" s="664"/>
      <c r="E471" s="664"/>
      <c r="F471" s="665"/>
      <c r="G471" s="664"/>
      <c r="H471" s="664"/>
      <c r="I471" s="664"/>
      <c r="J471" s="727"/>
      <c r="K471" s="664"/>
      <c r="L471" s="666"/>
    </row>
    <row r="472" spans="1:12" hidden="1" outlineLevel="1" x14ac:dyDescent="0.35">
      <c r="A472" s="483"/>
      <c r="B472" s="762" t="s">
        <v>1921</v>
      </c>
      <c r="C472" s="664" t="s">
        <v>292</v>
      </c>
      <c r="D472" s="664"/>
      <c r="E472" s="664"/>
      <c r="F472" s="665"/>
      <c r="G472" s="664"/>
      <c r="H472" s="664"/>
      <c r="I472" s="664"/>
      <c r="J472" s="727"/>
      <c r="K472" s="664"/>
      <c r="L472" s="666"/>
    </row>
    <row r="473" spans="1:12" hidden="1" outlineLevel="1" x14ac:dyDescent="0.35">
      <c r="A473" s="483"/>
      <c r="B473" s="762" t="s">
        <v>1921</v>
      </c>
      <c r="C473" s="664" t="s">
        <v>293</v>
      </c>
      <c r="D473" s="664"/>
      <c r="E473" s="664"/>
      <c r="F473" s="665"/>
      <c r="G473" s="664"/>
      <c r="H473" s="664"/>
      <c r="I473" s="664"/>
      <c r="J473" s="727"/>
      <c r="K473" s="664"/>
      <c r="L473" s="666"/>
    </row>
    <row r="474" spans="1:12" hidden="1" outlineLevel="1" x14ac:dyDescent="0.35">
      <c r="A474" s="483"/>
      <c r="B474" s="762" t="s">
        <v>1921</v>
      </c>
      <c r="C474" s="664" t="s">
        <v>294</v>
      </c>
      <c r="D474" s="664"/>
      <c r="E474" s="664"/>
      <c r="F474" s="665"/>
      <c r="G474" s="664"/>
      <c r="H474" s="664"/>
      <c r="I474" s="664"/>
      <c r="J474" s="727"/>
      <c r="K474" s="664"/>
      <c r="L474" s="666"/>
    </row>
    <row r="475" spans="1:12" hidden="1" outlineLevel="1" x14ac:dyDescent="0.35">
      <c r="A475" s="483"/>
      <c r="B475" s="762" t="s">
        <v>1921</v>
      </c>
      <c r="C475" s="664" t="s">
        <v>295</v>
      </c>
      <c r="D475" s="664"/>
      <c r="E475" s="664"/>
      <c r="F475" s="665"/>
      <c r="G475" s="664"/>
      <c r="H475" s="664"/>
      <c r="I475" s="664"/>
      <c r="J475" s="727"/>
      <c r="K475" s="664"/>
      <c r="L475" s="666"/>
    </row>
    <row r="476" spans="1:12" hidden="1" outlineLevel="1" x14ac:dyDescent="0.35">
      <c r="A476" s="483"/>
      <c r="B476" s="762" t="s">
        <v>1921</v>
      </c>
      <c r="C476" s="664" t="s">
        <v>296</v>
      </c>
      <c r="D476" s="664"/>
      <c r="E476" s="664"/>
      <c r="F476" s="665"/>
      <c r="G476" s="664"/>
      <c r="H476" s="664"/>
      <c r="I476" s="664"/>
      <c r="J476" s="727"/>
      <c r="K476" s="664"/>
      <c r="L476" s="666"/>
    </row>
    <row r="477" spans="1:12" hidden="1" outlineLevel="1" x14ac:dyDescent="0.35">
      <c r="A477" s="483"/>
      <c r="B477" s="762" t="s">
        <v>1921</v>
      </c>
      <c r="C477" s="664" t="s">
        <v>297</v>
      </c>
      <c r="D477" s="664"/>
      <c r="E477" s="664"/>
      <c r="F477" s="665"/>
      <c r="G477" s="664"/>
      <c r="H477" s="664"/>
      <c r="I477" s="664"/>
      <c r="J477" s="727"/>
      <c r="K477" s="664"/>
      <c r="L477" s="666"/>
    </row>
    <row r="478" spans="1:12" hidden="1" outlineLevel="1" x14ac:dyDescent="0.35">
      <c r="A478" s="483"/>
      <c r="B478" s="762" t="s">
        <v>1921</v>
      </c>
      <c r="C478" s="664" t="s">
        <v>298</v>
      </c>
      <c r="D478" s="664"/>
      <c r="E478" s="664"/>
      <c r="F478" s="665"/>
      <c r="G478" s="664"/>
      <c r="H478" s="664"/>
      <c r="I478" s="664"/>
      <c r="J478" s="727"/>
      <c r="K478" s="664"/>
      <c r="L478" s="666"/>
    </row>
    <row r="479" spans="1:12" hidden="1" outlineLevel="1" x14ac:dyDescent="0.35">
      <c r="A479" s="483"/>
      <c r="B479" s="762" t="s">
        <v>1921</v>
      </c>
      <c r="C479" s="664" t="s">
        <v>299</v>
      </c>
      <c r="D479" s="664"/>
      <c r="E479" s="664"/>
      <c r="F479" s="665"/>
      <c r="G479" s="664"/>
      <c r="H479" s="664"/>
      <c r="I479" s="664"/>
      <c r="J479" s="727"/>
      <c r="K479" s="664"/>
      <c r="L479" s="666"/>
    </row>
    <row r="480" spans="1:12" hidden="1" outlineLevel="1" x14ac:dyDescent="0.35">
      <c r="A480" s="483"/>
      <c r="B480" s="762" t="s">
        <v>1921</v>
      </c>
      <c r="C480" s="664" t="s">
        <v>300</v>
      </c>
      <c r="D480" s="664"/>
      <c r="E480" s="664"/>
      <c r="F480" s="665"/>
      <c r="G480" s="664"/>
      <c r="H480" s="664"/>
      <c r="I480" s="664"/>
      <c r="J480" s="727"/>
      <c r="K480" s="664"/>
      <c r="L480" s="666"/>
    </row>
    <row r="481" spans="1:12" hidden="1" outlineLevel="1" x14ac:dyDescent="0.35">
      <c r="A481" s="483"/>
      <c r="B481" s="762" t="s">
        <v>1921</v>
      </c>
      <c r="C481" s="664" t="s">
        <v>301</v>
      </c>
      <c r="D481" s="664"/>
      <c r="E481" s="664"/>
      <c r="F481" s="665"/>
      <c r="G481" s="664"/>
      <c r="H481" s="664"/>
      <c r="I481" s="664"/>
      <c r="J481" s="727"/>
      <c r="K481" s="664"/>
      <c r="L481" s="666"/>
    </row>
    <row r="482" spans="1:12" hidden="1" outlineLevel="1" x14ac:dyDescent="0.35">
      <c r="A482" s="483"/>
      <c r="B482" s="762" t="s">
        <v>1921</v>
      </c>
      <c r="C482" s="664" t="s">
        <v>302</v>
      </c>
      <c r="D482" s="664"/>
      <c r="E482" s="664"/>
      <c r="F482" s="665"/>
      <c r="G482" s="664"/>
      <c r="H482" s="664"/>
      <c r="I482" s="664"/>
      <c r="J482" s="727"/>
      <c r="K482" s="664"/>
      <c r="L482" s="666"/>
    </row>
    <row r="483" spans="1:12" hidden="1" outlineLevel="1" x14ac:dyDescent="0.35">
      <c r="A483" s="483"/>
      <c r="B483" s="762" t="s">
        <v>1921</v>
      </c>
      <c r="C483" s="664" t="s">
        <v>303</v>
      </c>
      <c r="D483" s="664"/>
      <c r="E483" s="664"/>
      <c r="F483" s="665"/>
      <c r="G483" s="664"/>
      <c r="H483" s="664"/>
      <c r="I483" s="664"/>
      <c r="J483" s="727"/>
      <c r="K483" s="664"/>
      <c r="L483" s="666"/>
    </row>
    <row r="484" spans="1:12" hidden="1" outlineLevel="1" x14ac:dyDescent="0.35">
      <c r="A484" s="483"/>
      <c r="B484" s="762" t="s">
        <v>1921</v>
      </c>
      <c r="C484" s="664" t="s">
        <v>304</v>
      </c>
      <c r="D484" s="664"/>
      <c r="E484" s="664"/>
      <c r="F484" s="665"/>
      <c r="G484" s="664"/>
      <c r="H484" s="664"/>
      <c r="I484" s="664"/>
      <c r="J484" s="727"/>
      <c r="K484" s="664"/>
      <c r="L484" s="666"/>
    </row>
    <row r="485" spans="1:12" hidden="1" outlineLevel="1" x14ac:dyDescent="0.35">
      <c r="A485" s="483"/>
      <c r="B485" s="762" t="s">
        <v>1921</v>
      </c>
      <c r="C485" s="664" t="s">
        <v>305</v>
      </c>
      <c r="D485" s="664"/>
      <c r="E485" s="664"/>
      <c r="F485" s="665"/>
      <c r="G485" s="664"/>
      <c r="H485" s="664"/>
      <c r="I485" s="664"/>
      <c r="J485" s="727"/>
      <c r="K485" s="664"/>
      <c r="L485" s="666"/>
    </row>
    <row r="486" spans="1:12" hidden="1" outlineLevel="1" x14ac:dyDescent="0.35">
      <c r="A486" s="483"/>
      <c r="B486" s="762" t="s">
        <v>1921</v>
      </c>
      <c r="C486" s="664" t="s">
        <v>306</v>
      </c>
      <c r="D486" s="664"/>
      <c r="E486" s="664"/>
      <c r="F486" s="665"/>
      <c r="G486" s="664"/>
      <c r="H486" s="664"/>
      <c r="I486" s="664"/>
      <c r="J486" s="727"/>
      <c r="K486" s="664"/>
      <c r="L486" s="666"/>
    </row>
    <row r="487" spans="1:12" hidden="1" outlineLevel="1" x14ac:dyDescent="0.35">
      <c r="A487" s="483"/>
      <c r="B487" s="762" t="s">
        <v>1921</v>
      </c>
      <c r="C487" s="664" t="s">
        <v>307</v>
      </c>
      <c r="D487" s="664"/>
      <c r="E487" s="664"/>
      <c r="F487" s="665"/>
      <c r="G487" s="664"/>
      <c r="H487" s="664"/>
      <c r="I487" s="664"/>
      <c r="J487" s="727"/>
      <c r="K487" s="664"/>
      <c r="L487" s="666"/>
    </row>
    <row r="488" spans="1:12" hidden="1" outlineLevel="1" x14ac:dyDescent="0.35">
      <c r="A488" s="483"/>
      <c r="B488" s="762" t="s">
        <v>1921</v>
      </c>
      <c r="C488" s="664" t="s">
        <v>308</v>
      </c>
      <c r="D488" s="664"/>
      <c r="E488" s="664"/>
      <c r="F488" s="665"/>
      <c r="G488" s="664"/>
      <c r="H488" s="664"/>
      <c r="I488" s="664"/>
      <c r="J488" s="727"/>
      <c r="K488" s="664"/>
      <c r="L488" s="666"/>
    </row>
    <row r="489" spans="1:12" hidden="1" outlineLevel="1" x14ac:dyDescent="0.35">
      <c r="A489" s="483"/>
      <c r="B489" s="762" t="s">
        <v>1921</v>
      </c>
      <c r="C489" s="664" t="s">
        <v>309</v>
      </c>
      <c r="D489" s="664"/>
      <c r="E489" s="664"/>
      <c r="F489" s="665"/>
      <c r="G489" s="664"/>
      <c r="H489" s="664"/>
      <c r="I489" s="664"/>
      <c r="J489" s="727"/>
      <c r="K489" s="664"/>
      <c r="L489" s="666"/>
    </row>
    <row r="490" spans="1:12" hidden="1" outlineLevel="1" x14ac:dyDescent="0.35">
      <c r="A490" s="483"/>
      <c r="B490" s="762" t="s">
        <v>1921</v>
      </c>
      <c r="C490" s="664" t="s">
        <v>310</v>
      </c>
      <c r="D490" s="664"/>
      <c r="E490" s="664"/>
      <c r="F490" s="665"/>
      <c r="G490" s="664"/>
      <c r="H490" s="664"/>
      <c r="I490" s="664"/>
      <c r="J490" s="727"/>
      <c r="K490" s="664"/>
      <c r="L490" s="666"/>
    </row>
    <row r="491" spans="1:12" hidden="1" outlineLevel="1" x14ac:dyDescent="0.35">
      <c r="A491" s="483"/>
      <c r="B491" s="762" t="s">
        <v>1921</v>
      </c>
      <c r="C491" s="664" t="s">
        <v>311</v>
      </c>
      <c r="D491" s="664"/>
      <c r="E491" s="664"/>
      <c r="F491" s="665"/>
      <c r="G491" s="664"/>
      <c r="H491" s="664"/>
      <c r="I491" s="664"/>
      <c r="J491" s="727"/>
      <c r="K491" s="664"/>
      <c r="L491" s="666"/>
    </row>
    <row r="492" spans="1:12" hidden="1" outlineLevel="1" x14ac:dyDescent="0.35">
      <c r="A492" s="483"/>
      <c r="B492" s="762" t="s">
        <v>1921</v>
      </c>
      <c r="C492" s="664" t="s">
        <v>312</v>
      </c>
      <c r="D492" s="664"/>
      <c r="E492" s="664"/>
      <c r="F492" s="665"/>
      <c r="G492" s="664"/>
      <c r="H492" s="664"/>
      <c r="I492" s="664"/>
      <c r="J492" s="727"/>
      <c r="K492" s="664"/>
      <c r="L492" s="666"/>
    </row>
    <row r="493" spans="1:12" hidden="1" outlineLevel="1" x14ac:dyDescent="0.35">
      <c r="A493" s="483"/>
      <c r="B493" s="762" t="s">
        <v>1921</v>
      </c>
      <c r="C493" s="664" t="s">
        <v>313</v>
      </c>
      <c r="D493" s="664"/>
      <c r="E493" s="664"/>
      <c r="F493" s="665"/>
      <c r="G493" s="664"/>
      <c r="H493" s="664"/>
      <c r="I493" s="664"/>
      <c r="J493" s="727"/>
      <c r="K493" s="664"/>
      <c r="L493" s="666"/>
    </row>
    <row r="494" spans="1:12" hidden="1" outlineLevel="1" x14ac:dyDescent="0.35">
      <c r="A494" s="483"/>
      <c r="B494" s="762" t="s">
        <v>1921</v>
      </c>
      <c r="C494" s="664" t="s">
        <v>314</v>
      </c>
      <c r="D494" s="664"/>
      <c r="E494" s="664"/>
      <c r="F494" s="665"/>
      <c r="G494" s="664"/>
      <c r="H494" s="664"/>
      <c r="I494" s="664"/>
      <c r="J494" s="727"/>
      <c r="K494" s="664"/>
      <c r="L494" s="666"/>
    </row>
    <row r="495" spans="1:12" hidden="1" outlineLevel="1" x14ac:dyDescent="0.35">
      <c r="A495" s="483"/>
      <c r="B495" s="762" t="s">
        <v>1921</v>
      </c>
      <c r="C495" s="664" t="s">
        <v>315</v>
      </c>
      <c r="D495" s="664"/>
      <c r="E495" s="664"/>
      <c r="F495" s="665"/>
      <c r="G495" s="664"/>
      <c r="H495" s="664"/>
      <c r="I495" s="664"/>
      <c r="J495" s="727"/>
      <c r="K495" s="664"/>
      <c r="L495" s="666"/>
    </row>
    <row r="496" spans="1:12" hidden="1" outlineLevel="1" x14ac:dyDescent="0.35">
      <c r="A496" s="483"/>
      <c r="B496" s="762" t="s">
        <v>1921</v>
      </c>
      <c r="C496" s="664" t="s">
        <v>316</v>
      </c>
      <c r="D496" s="664"/>
      <c r="E496" s="664"/>
      <c r="F496" s="665"/>
      <c r="G496" s="664"/>
      <c r="H496" s="664"/>
      <c r="I496" s="664"/>
      <c r="J496" s="727"/>
      <c r="K496" s="664"/>
      <c r="L496" s="666"/>
    </row>
    <row r="497" spans="1:12" hidden="1" outlineLevel="1" x14ac:dyDescent="0.35">
      <c r="A497" s="483"/>
      <c r="B497" s="762" t="s">
        <v>1921</v>
      </c>
      <c r="C497" s="664" t="s">
        <v>317</v>
      </c>
      <c r="D497" s="664"/>
      <c r="E497" s="664"/>
      <c r="F497" s="665"/>
      <c r="G497" s="664"/>
      <c r="H497" s="664"/>
      <c r="I497" s="664"/>
      <c r="J497" s="727"/>
      <c r="K497" s="664"/>
      <c r="L497" s="666"/>
    </row>
    <row r="498" spans="1:12" hidden="1" outlineLevel="1" x14ac:dyDescent="0.35">
      <c r="A498" s="483"/>
      <c r="B498" s="762" t="s">
        <v>1921</v>
      </c>
      <c r="C498" s="664" t="s">
        <v>318</v>
      </c>
      <c r="D498" s="664"/>
      <c r="E498" s="664"/>
      <c r="F498" s="665"/>
      <c r="G498" s="664"/>
      <c r="H498" s="664"/>
      <c r="I498" s="664"/>
      <c r="J498" s="727"/>
      <c r="K498" s="664"/>
      <c r="L498" s="666"/>
    </row>
    <row r="499" spans="1:12" hidden="1" outlineLevel="1" x14ac:dyDescent="0.35">
      <c r="A499" s="483"/>
      <c r="B499" s="762" t="s">
        <v>1921</v>
      </c>
      <c r="C499" s="664" t="s">
        <v>319</v>
      </c>
      <c r="D499" s="664"/>
      <c r="E499" s="664"/>
      <c r="F499" s="665"/>
      <c r="G499" s="664"/>
      <c r="H499" s="664"/>
      <c r="I499" s="664"/>
      <c r="J499" s="727"/>
      <c r="K499" s="664"/>
      <c r="L499" s="666"/>
    </row>
    <row r="500" spans="1:12" hidden="1" outlineLevel="1" x14ac:dyDescent="0.35">
      <c r="A500" s="483"/>
      <c r="B500" s="762" t="s">
        <v>1921</v>
      </c>
      <c r="C500" s="664" t="s">
        <v>320</v>
      </c>
      <c r="D500" s="664"/>
      <c r="E500" s="664"/>
      <c r="F500" s="665"/>
      <c r="G500" s="664"/>
      <c r="H500" s="664"/>
      <c r="I500" s="664"/>
      <c r="J500" s="727"/>
      <c r="K500" s="664"/>
      <c r="L500" s="666"/>
    </row>
    <row r="501" spans="1:12" hidden="1" outlineLevel="1" x14ac:dyDescent="0.35">
      <c r="A501" s="483"/>
      <c r="B501" s="762" t="s">
        <v>1921</v>
      </c>
      <c r="C501" s="664" t="s">
        <v>321</v>
      </c>
      <c r="D501" s="664"/>
      <c r="E501" s="664"/>
      <c r="F501" s="665"/>
      <c r="G501" s="664"/>
      <c r="H501" s="664"/>
      <c r="I501" s="664"/>
      <c r="J501" s="727"/>
      <c r="K501" s="664"/>
      <c r="L501" s="666"/>
    </row>
    <row r="502" spans="1:12" hidden="1" outlineLevel="1" x14ac:dyDescent="0.35">
      <c r="A502" s="483"/>
      <c r="B502" s="762" t="s">
        <v>1921</v>
      </c>
      <c r="C502" s="664" t="s">
        <v>322</v>
      </c>
      <c r="D502" s="664"/>
      <c r="E502" s="664"/>
      <c r="F502" s="665"/>
      <c r="G502" s="664"/>
      <c r="H502" s="664"/>
      <c r="I502" s="664"/>
      <c r="J502" s="727"/>
      <c r="K502" s="664"/>
      <c r="L502" s="666"/>
    </row>
    <row r="503" spans="1:12" hidden="1" outlineLevel="1" x14ac:dyDescent="0.35">
      <c r="A503" s="483"/>
      <c r="B503" s="762" t="s">
        <v>1921</v>
      </c>
      <c r="C503" s="664" t="s">
        <v>323</v>
      </c>
      <c r="D503" s="664"/>
      <c r="E503" s="664"/>
      <c r="F503" s="665"/>
      <c r="G503" s="664"/>
      <c r="H503" s="664"/>
      <c r="I503" s="664"/>
      <c r="J503" s="727"/>
      <c r="K503" s="664"/>
      <c r="L503" s="666"/>
    </row>
    <row r="504" spans="1:12" hidden="1" outlineLevel="1" x14ac:dyDescent="0.35">
      <c r="A504" s="483"/>
      <c r="B504" s="762" t="s">
        <v>1921</v>
      </c>
      <c r="C504" s="664" t="s">
        <v>324</v>
      </c>
      <c r="D504" s="664"/>
      <c r="E504" s="664"/>
      <c r="F504" s="665"/>
      <c r="G504" s="664"/>
      <c r="H504" s="664"/>
      <c r="I504" s="664"/>
      <c r="J504" s="727"/>
      <c r="K504" s="664"/>
      <c r="L504" s="666"/>
    </row>
    <row r="505" spans="1:12" hidden="1" outlineLevel="1" x14ac:dyDescent="0.35">
      <c r="A505" s="483"/>
      <c r="B505" s="762" t="s">
        <v>1921</v>
      </c>
      <c r="C505" s="664" t="s">
        <v>325</v>
      </c>
      <c r="D505" s="664"/>
      <c r="E505" s="664"/>
      <c r="F505" s="665"/>
      <c r="G505" s="664"/>
      <c r="H505" s="664"/>
      <c r="I505" s="664"/>
      <c r="J505" s="727"/>
      <c r="K505" s="664"/>
      <c r="L505" s="666"/>
    </row>
    <row r="506" spans="1:12" hidden="1" outlineLevel="1" x14ac:dyDescent="0.35">
      <c r="A506" s="483"/>
      <c r="B506" s="762" t="s">
        <v>1921</v>
      </c>
      <c r="C506" s="664" t="s">
        <v>326</v>
      </c>
      <c r="D506" s="664"/>
      <c r="E506" s="664"/>
      <c r="F506" s="665"/>
      <c r="G506" s="664"/>
      <c r="H506" s="664"/>
      <c r="I506" s="664"/>
      <c r="J506" s="727"/>
      <c r="K506" s="664"/>
      <c r="L506" s="666"/>
    </row>
    <row r="507" spans="1:12" hidden="1" outlineLevel="1" x14ac:dyDescent="0.35">
      <c r="A507" s="483"/>
      <c r="B507" s="762" t="s">
        <v>1921</v>
      </c>
      <c r="C507" s="664" t="s">
        <v>327</v>
      </c>
      <c r="D507" s="664"/>
      <c r="E507" s="664"/>
      <c r="F507" s="665"/>
      <c r="G507" s="664"/>
      <c r="H507" s="664"/>
      <c r="I507" s="664"/>
      <c r="J507" s="727"/>
      <c r="K507" s="664"/>
      <c r="L507" s="666"/>
    </row>
    <row r="508" spans="1:12" hidden="1" outlineLevel="1" x14ac:dyDescent="0.35">
      <c r="A508" s="483"/>
      <c r="B508" s="762" t="s">
        <v>1921</v>
      </c>
      <c r="C508" s="664" t="s">
        <v>328</v>
      </c>
      <c r="D508" s="664"/>
      <c r="E508" s="664"/>
      <c r="F508" s="665"/>
      <c r="G508" s="664"/>
      <c r="H508" s="664"/>
      <c r="I508" s="664"/>
      <c r="J508" s="727"/>
      <c r="K508" s="664"/>
      <c r="L508" s="666"/>
    </row>
    <row r="509" spans="1:12" hidden="1" outlineLevel="1" x14ac:dyDescent="0.35">
      <c r="A509" s="483"/>
      <c r="B509" s="762" t="s">
        <v>1921</v>
      </c>
      <c r="C509" s="664" t="s">
        <v>329</v>
      </c>
      <c r="D509" s="664"/>
      <c r="E509" s="664"/>
      <c r="F509" s="665"/>
      <c r="G509" s="664"/>
      <c r="H509" s="664"/>
      <c r="I509" s="664"/>
      <c r="J509" s="727"/>
      <c r="K509" s="664"/>
      <c r="L509" s="666"/>
    </row>
    <row r="510" spans="1:12" hidden="1" outlineLevel="1" x14ac:dyDescent="0.35">
      <c r="A510" s="483"/>
      <c r="B510" s="762" t="s">
        <v>1921</v>
      </c>
      <c r="C510" s="664" t="s">
        <v>330</v>
      </c>
      <c r="D510" s="664"/>
      <c r="E510" s="664"/>
      <c r="F510" s="665"/>
      <c r="G510" s="664"/>
      <c r="H510" s="664"/>
      <c r="I510" s="664"/>
      <c r="J510" s="727"/>
      <c r="K510" s="664"/>
      <c r="L510" s="666"/>
    </row>
    <row r="511" spans="1:12" hidden="1" outlineLevel="1" x14ac:dyDescent="0.35">
      <c r="A511" s="483"/>
      <c r="B511" s="762" t="s">
        <v>1921</v>
      </c>
      <c r="C511" s="664" t="s">
        <v>331</v>
      </c>
      <c r="D511" s="664"/>
      <c r="E511" s="664"/>
      <c r="F511" s="665"/>
      <c r="G511" s="664"/>
      <c r="H511" s="664"/>
      <c r="I511" s="664"/>
      <c r="J511" s="727"/>
      <c r="K511" s="664"/>
      <c r="L511" s="666"/>
    </row>
    <row r="512" spans="1:12" hidden="1" outlineLevel="1" x14ac:dyDescent="0.35">
      <c r="A512" s="483"/>
      <c r="B512" s="762" t="s">
        <v>1921</v>
      </c>
      <c r="C512" s="664" t="s">
        <v>332</v>
      </c>
      <c r="D512" s="664"/>
      <c r="E512" s="664"/>
      <c r="F512" s="665"/>
      <c r="G512" s="664"/>
      <c r="H512" s="664"/>
      <c r="I512" s="664"/>
      <c r="J512" s="727"/>
      <c r="K512" s="664"/>
      <c r="L512" s="666"/>
    </row>
    <row r="513" spans="1:12" hidden="1" outlineLevel="1" x14ac:dyDescent="0.35">
      <c r="A513" s="483"/>
      <c r="B513" s="762" t="s">
        <v>1921</v>
      </c>
      <c r="C513" s="664" t="s">
        <v>333</v>
      </c>
      <c r="D513" s="664"/>
      <c r="E513" s="664"/>
      <c r="F513" s="665"/>
      <c r="G513" s="664"/>
      <c r="H513" s="664"/>
      <c r="I513" s="664"/>
      <c r="J513" s="727"/>
      <c r="K513" s="664"/>
      <c r="L513" s="666"/>
    </row>
    <row r="514" spans="1:12" hidden="1" outlineLevel="1" x14ac:dyDescent="0.35">
      <c r="A514" s="483"/>
      <c r="B514" s="762" t="s">
        <v>1921</v>
      </c>
      <c r="C514" s="664" t="s">
        <v>334</v>
      </c>
      <c r="D514" s="664"/>
      <c r="E514" s="664"/>
      <c r="F514" s="665"/>
      <c r="G514" s="664"/>
      <c r="H514" s="664"/>
      <c r="I514" s="664"/>
      <c r="J514" s="727"/>
      <c r="K514" s="664"/>
      <c r="L514" s="666"/>
    </row>
    <row r="515" spans="1:12" hidden="1" outlineLevel="1" x14ac:dyDescent="0.35">
      <c r="A515" s="483"/>
      <c r="B515" s="762" t="s">
        <v>1921</v>
      </c>
      <c r="C515" s="664" t="s">
        <v>335</v>
      </c>
      <c r="D515" s="664"/>
      <c r="E515" s="664"/>
      <c r="F515" s="665"/>
      <c r="G515" s="664"/>
      <c r="H515" s="664"/>
      <c r="I515" s="664"/>
      <c r="J515" s="727"/>
      <c r="K515" s="664"/>
      <c r="L515" s="666"/>
    </row>
    <row r="516" spans="1:12" hidden="1" outlineLevel="1" x14ac:dyDescent="0.35">
      <c r="A516" s="483"/>
      <c r="B516" s="762" t="s">
        <v>1921</v>
      </c>
      <c r="C516" s="664" t="s">
        <v>336</v>
      </c>
      <c r="D516" s="664"/>
      <c r="E516" s="664"/>
      <c r="F516" s="665"/>
      <c r="G516" s="664"/>
      <c r="H516" s="664"/>
      <c r="I516" s="664"/>
      <c r="J516" s="727"/>
      <c r="K516" s="664"/>
      <c r="L516" s="666"/>
    </row>
    <row r="517" spans="1:12" hidden="1" outlineLevel="1" x14ac:dyDescent="0.35">
      <c r="A517" s="483"/>
      <c r="B517" s="762" t="s">
        <v>1921</v>
      </c>
      <c r="C517" s="664" t="s">
        <v>337</v>
      </c>
      <c r="D517" s="664"/>
      <c r="E517" s="664"/>
      <c r="F517" s="665"/>
      <c r="G517" s="664"/>
      <c r="H517" s="664"/>
      <c r="I517" s="664"/>
      <c r="J517" s="727"/>
      <c r="K517" s="664"/>
      <c r="L517" s="666"/>
    </row>
    <row r="518" spans="1:12" hidden="1" outlineLevel="1" x14ac:dyDescent="0.35">
      <c r="A518" s="483"/>
      <c r="B518" s="762" t="s">
        <v>1921</v>
      </c>
      <c r="C518" s="664" t="s">
        <v>338</v>
      </c>
      <c r="D518" s="664"/>
      <c r="E518" s="664"/>
      <c r="F518" s="665"/>
      <c r="G518" s="664"/>
      <c r="H518" s="664"/>
      <c r="I518" s="664"/>
      <c r="J518" s="727"/>
      <c r="K518" s="664"/>
      <c r="L518" s="666"/>
    </row>
    <row r="519" spans="1:12" hidden="1" outlineLevel="1" x14ac:dyDescent="0.35">
      <c r="A519" s="483"/>
      <c r="B519" s="762" t="s">
        <v>1921</v>
      </c>
      <c r="C519" s="664" t="s">
        <v>339</v>
      </c>
      <c r="D519" s="664"/>
      <c r="E519" s="664"/>
      <c r="F519" s="665"/>
      <c r="G519" s="664"/>
      <c r="H519" s="664"/>
      <c r="I519" s="664"/>
      <c r="J519" s="727"/>
      <c r="K519" s="664"/>
      <c r="L519" s="666"/>
    </row>
    <row r="520" spans="1:12" hidden="1" outlineLevel="1" x14ac:dyDescent="0.35">
      <c r="A520" s="483"/>
      <c r="B520" s="762" t="s">
        <v>1921</v>
      </c>
      <c r="C520" s="664" t="s">
        <v>340</v>
      </c>
      <c r="D520" s="664"/>
      <c r="E520" s="664"/>
      <c r="F520" s="665"/>
      <c r="G520" s="664"/>
      <c r="H520" s="664"/>
      <c r="I520" s="664"/>
      <c r="J520" s="727"/>
      <c r="K520" s="664"/>
      <c r="L520" s="666"/>
    </row>
    <row r="521" spans="1:12" hidden="1" outlineLevel="1" x14ac:dyDescent="0.35">
      <c r="A521" s="483"/>
      <c r="B521" s="762" t="s">
        <v>1921</v>
      </c>
      <c r="C521" s="664" t="s">
        <v>341</v>
      </c>
      <c r="D521" s="664"/>
      <c r="E521" s="664"/>
      <c r="F521" s="665"/>
      <c r="G521" s="664"/>
      <c r="H521" s="664"/>
      <c r="I521" s="664"/>
      <c r="J521" s="727"/>
      <c r="K521" s="664"/>
      <c r="L521" s="666"/>
    </row>
    <row r="522" spans="1:12" hidden="1" outlineLevel="1" x14ac:dyDescent="0.35">
      <c r="A522" s="483"/>
      <c r="B522" s="762" t="s">
        <v>1921</v>
      </c>
      <c r="C522" s="664" t="s">
        <v>342</v>
      </c>
      <c r="D522" s="664"/>
      <c r="E522" s="664"/>
      <c r="F522" s="665"/>
      <c r="G522" s="664"/>
      <c r="H522" s="664"/>
      <c r="I522" s="664"/>
      <c r="J522" s="727"/>
      <c r="K522" s="664"/>
      <c r="L522" s="666"/>
    </row>
    <row r="523" spans="1:12" hidden="1" outlineLevel="1" x14ac:dyDescent="0.35">
      <c r="A523" s="483"/>
      <c r="B523" s="762" t="s">
        <v>1921</v>
      </c>
      <c r="C523" s="664" t="s">
        <v>343</v>
      </c>
      <c r="D523" s="664"/>
      <c r="E523" s="664"/>
      <c r="F523" s="665"/>
      <c r="G523" s="664"/>
      <c r="H523" s="664"/>
      <c r="I523" s="664"/>
      <c r="J523" s="727"/>
      <c r="K523" s="664"/>
      <c r="L523" s="666"/>
    </row>
    <row r="524" spans="1:12" hidden="1" outlineLevel="1" x14ac:dyDescent="0.35">
      <c r="A524" s="483"/>
      <c r="B524" s="762" t="s">
        <v>1921</v>
      </c>
      <c r="C524" s="664" t="s">
        <v>344</v>
      </c>
      <c r="D524" s="664"/>
      <c r="E524" s="664"/>
      <c r="F524" s="665"/>
      <c r="G524" s="664"/>
      <c r="H524" s="664"/>
      <c r="I524" s="664"/>
      <c r="J524" s="727"/>
      <c r="K524" s="664"/>
      <c r="L524" s="666"/>
    </row>
    <row r="525" spans="1:12" hidden="1" outlineLevel="1" x14ac:dyDescent="0.35">
      <c r="A525" s="483"/>
      <c r="B525" s="762" t="s">
        <v>1921</v>
      </c>
      <c r="C525" s="664" t="s">
        <v>345</v>
      </c>
      <c r="D525" s="664"/>
      <c r="E525" s="664"/>
      <c r="F525" s="665"/>
      <c r="G525" s="664"/>
      <c r="H525" s="664"/>
      <c r="I525" s="664"/>
      <c r="J525" s="727"/>
      <c r="K525" s="664"/>
      <c r="L525" s="666"/>
    </row>
    <row r="526" spans="1:12" hidden="1" outlineLevel="1" x14ac:dyDescent="0.35">
      <c r="A526" s="483"/>
      <c r="B526" s="762" t="s">
        <v>1921</v>
      </c>
      <c r="C526" s="664" t="s">
        <v>346</v>
      </c>
      <c r="D526" s="664"/>
      <c r="E526" s="664"/>
      <c r="F526" s="665"/>
      <c r="G526" s="664"/>
      <c r="H526" s="664"/>
      <c r="I526" s="664"/>
      <c r="J526" s="727"/>
      <c r="K526" s="664"/>
      <c r="L526" s="666"/>
    </row>
    <row r="527" spans="1:12" hidden="1" outlineLevel="1" x14ac:dyDescent="0.35">
      <c r="A527" s="483"/>
      <c r="B527" s="762" t="s">
        <v>1921</v>
      </c>
      <c r="C527" s="664" t="s">
        <v>347</v>
      </c>
      <c r="D527" s="664"/>
      <c r="E527" s="664"/>
      <c r="F527" s="665"/>
      <c r="G527" s="664"/>
      <c r="H527" s="664"/>
      <c r="I527" s="664"/>
      <c r="J527" s="727"/>
      <c r="K527" s="664"/>
      <c r="L527" s="666"/>
    </row>
    <row r="528" spans="1:12" hidden="1" outlineLevel="1" x14ac:dyDescent="0.35">
      <c r="A528" s="483"/>
      <c r="B528" s="762" t="s">
        <v>1921</v>
      </c>
      <c r="C528" s="664" t="s">
        <v>348</v>
      </c>
      <c r="D528" s="664"/>
      <c r="E528" s="664"/>
      <c r="F528" s="665"/>
      <c r="G528" s="664"/>
      <c r="H528" s="664"/>
      <c r="I528" s="664"/>
      <c r="J528" s="727"/>
      <c r="K528" s="664"/>
      <c r="L528" s="666"/>
    </row>
    <row r="529" spans="1:12" hidden="1" outlineLevel="1" x14ac:dyDescent="0.35">
      <c r="A529" s="483"/>
      <c r="B529" s="762" t="s">
        <v>1921</v>
      </c>
      <c r="C529" s="664" t="s">
        <v>349</v>
      </c>
      <c r="D529" s="664"/>
      <c r="E529" s="664"/>
      <c r="F529" s="665"/>
      <c r="G529" s="664"/>
      <c r="H529" s="664"/>
      <c r="I529" s="664"/>
      <c r="J529" s="727"/>
      <c r="K529" s="664"/>
      <c r="L529" s="666"/>
    </row>
    <row r="530" spans="1:12" hidden="1" outlineLevel="1" x14ac:dyDescent="0.35">
      <c r="A530" s="483"/>
      <c r="B530" s="762" t="s">
        <v>1921</v>
      </c>
      <c r="C530" s="664" t="s">
        <v>350</v>
      </c>
      <c r="D530" s="664"/>
      <c r="E530" s="664"/>
      <c r="F530" s="665"/>
      <c r="G530" s="664"/>
      <c r="H530" s="664"/>
      <c r="I530" s="664"/>
      <c r="J530" s="727"/>
      <c r="K530" s="664"/>
      <c r="L530" s="666"/>
    </row>
    <row r="531" spans="1:12" hidden="1" outlineLevel="1" x14ac:dyDescent="0.35">
      <c r="A531" s="483"/>
      <c r="B531" s="762" t="s">
        <v>1921</v>
      </c>
      <c r="C531" s="664" t="s">
        <v>351</v>
      </c>
      <c r="D531" s="664"/>
      <c r="E531" s="664"/>
      <c r="F531" s="665"/>
      <c r="G531" s="664"/>
      <c r="H531" s="664"/>
      <c r="I531" s="664"/>
      <c r="J531" s="727"/>
      <c r="K531" s="664"/>
      <c r="L531" s="666"/>
    </row>
    <row r="532" spans="1:12" hidden="1" outlineLevel="1" x14ac:dyDescent="0.35">
      <c r="A532" s="483"/>
      <c r="B532" s="762" t="s">
        <v>1921</v>
      </c>
      <c r="C532" s="664" t="s">
        <v>352</v>
      </c>
      <c r="D532" s="664"/>
      <c r="E532" s="664"/>
      <c r="F532" s="665"/>
      <c r="G532" s="664"/>
      <c r="H532" s="664"/>
      <c r="I532" s="664"/>
      <c r="J532" s="727"/>
      <c r="K532" s="664"/>
      <c r="L532" s="666"/>
    </row>
    <row r="533" spans="1:12" hidden="1" outlineLevel="1" x14ac:dyDescent="0.35">
      <c r="A533" s="483"/>
      <c r="B533" s="762" t="s">
        <v>1921</v>
      </c>
      <c r="C533" s="664" t="s">
        <v>353</v>
      </c>
      <c r="D533" s="664"/>
      <c r="E533" s="664"/>
      <c r="F533" s="665"/>
      <c r="G533" s="664"/>
      <c r="H533" s="664"/>
      <c r="I533" s="664"/>
      <c r="J533" s="727"/>
      <c r="K533" s="664"/>
      <c r="L533" s="666"/>
    </row>
    <row r="534" spans="1:12" hidden="1" outlineLevel="1" x14ac:dyDescent="0.35">
      <c r="A534" s="483"/>
      <c r="B534" s="762" t="s">
        <v>1921</v>
      </c>
      <c r="C534" s="664" t="s">
        <v>354</v>
      </c>
      <c r="D534" s="664"/>
      <c r="E534" s="664"/>
      <c r="F534" s="665"/>
      <c r="G534" s="664"/>
      <c r="H534" s="664"/>
      <c r="I534" s="664"/>
      <c r="J534" s="727"/>
      <c r="K534" s="664"/>
      <c r="L534" s="666"/>
    </row>
    <row r="535" spans="1:12" hidden="1" outlineLevel="1" x14ac:dyDescent="0.35">
      <c r="A535" s="483"/>
      <c r="B535" s="762" t="s">
        <v>1921</v>
      </c>
      <c r="C535" s="664" t="s">
        <v>355</v>
      </c>
      <c r="D535" s="664"/>
      <c r="E535" s="664"/>
      <c r="F535" s="665"/>
      <c r="G535" s="664"/>
      <c r="H535" s="664"/>
      <c r="I535" s="664"/>
      <c r="J535" s="727"/>
      <c r="K535" s="664"/>
      <c r="L535" s="666"/>
    </row>
    <row r="536" spans="1:12" hidden="1" outlineLevel="1" x14ac:dyDescent="0.35">
      <c r="A536" s="483"/>
      <c r="B536" s="762" t="s">
        <v>1921</v>
      </c>
      <c r="C536" s="664" t="s">
        <v>356</v>
      </c>
      <c r="D536" s="664"/>
      <c r="E536" s="664"/>
      <c r="F536" s="665"/>
      <c r="G536" s="664"/>
      <c r="H536" s="664"/>
      <c r="I536" s="664"/>
      <c r="J536" s="727"/>
      <c r="K536" s="664"/>
      <c r="L536" s="666"/>
    </row>
    <row r="537" spans="1:12" hidden="1" outlineLevel="1" x14ac:dyDescent="0.35">
      <c r="A537" s="483"/>
      <c r="B537" s="762" t="s">
        <v>1921</v>
      </c>
      <c r="C537" s="664" t="s">
        <v>357</v>
      </c>
      <c r="D537" s="664"/>
      <c r="E537" s="664"/>
      <c r="F537" s="665"/>
      <c r="G537" s="664"/>
      <c r="H537" s="664"/>
      <c r="I537" s="664"/>
      <c r="J537" s="727"/>
      <c r="K537" s="664"/>
      <c r="L537" s="666"/>
    </row>
    <row r="538" spans="1:12" hidden="1" outlineLevel="1" x14ac:dyDescent="0.35">
      <c r="A538" s="483"/>
      <c r="B538" s="762" t="s">
        <v>1921</v>
      </c>
      <c r="C538" s="664" t="s">
        <v>358</v>
      </c>
      <c r="D538" s="664"/>
      <c r="E538" s="664"/>
      <c r="F538" s="665"/>
      <c r="G538" s="664"/>
      <c r="H538" s="664"/>
      <c r="I538" s="664"/>
      <c r="J538" s="727"/>
      <c r="K538" s="664"/>
      <c r="L538" s="666"/>
    </row>
    <row r="539" spans="1:12" hidden="1" outlineLevel="1" x14ac:dyDescent="0.35">
      <c r="A539" s="483"/>
      <c r="B539" s="762" t="s">
        <v>1921</v>
      </c>
      <c r="C539" s="664" t="s">
        <v>359</v>
      </c>
      <c r="D539" s="664"/>
      <c r="E539" s="664"/>
      <c r="F539" s="665"/>
      <c r="G539" s="664"/>
      <c r="H539" s="664"/>
      <c r="I539" s="664"/>
      <c r="J539" s="727"/>
      <c r="K539" s="664"/>
      <c r="L539" s="666"/>
    </row>
    <row r="540" spans="1:12" hidden="1" outlineLevel="1" x14ac:dyDescent="0.35">
      <c r="A540" s="483"/>
      <c r="B540" s="762" t="s">
        <v>1921</v>
      </c>
      <c r="C540" s="664" t="s">
        <v>360</v>
      </c>
      <c r="D540" s="664"/>
      <c r="E540" s="664"/>
      <c r="F540" s="665"/>
      <c r="G540" s="664"/>
      <c r="H540" s="664"/>
      <c r="I540" s="664"/>
      <c r="J540" s="727"/>
      <c r="K540" s="664"/>
      <c r="L540" s="666"/>
    </row>
    <row r="541" spans="1:12" hidden="1" outlineLevel="1" x14ac:dyDescent="0.35">
      <c r="A541" s="483"/>
      <c r="B541" s="762" t="s">
        <v>1921</v>
      </c>
      <c r="C541" s="664" t="s">
        <v>361</v>
      </c>
      <c r="D541" s="664"/>
      <c r="E541" s="664"/>
      <c r="F541" s="665"/>
      <c r="G541" s="664"/>
      <c r="H541" s="664"/>
      <c r="I541" s="664"/>
      <c r="J541" s="727"/>
      <c r="K541" s="664"/>
      <c r="L541" s="666"/>
    </row>
    <row r="542" spans="1:12" hidden="1" outlineLevel="1" x14ac:dyDescent="0.35">
      <c r="A542" s="483"/>
      <c r="B542" s="762" t="s">
        <v>1921</v>
      </c>
      <c r="C542" s="664" t="s">
        <v>362</v>
      </c>
      <c r="D542" s="664"/>
      <c r="E542" s="664"/>
      <c r="F542" s="665"/>
      <c r="G542" s="664"/>
      <c r="H542" s="664"/>
      <c r="I542" s="664"/>
      <c r="J542" s="727"/>
      <c r="K542" s="664"/>
      <c r="L542" s="666"/>
    </row>
    <row r="543" spans="1:12" hidden="1" outlineLevel="1" x14ac:dyDescent="0.35">
      <c r="A543" s="483"/>
      <c r="B543" s="762" t="s">
        <v>1921</v>
      </c>
      <c r="C543" s="664" t="s">
        <v>363</v>
      </c>
      <c r="D543" s="664"/>
      <c r="E543" s="664"/>
      <c r="F543" s="665"/>
      <c r="G543" s="664"/>
      <c r="H543" s="664"/>
      <c r="I543" s="664"/>
      <c r="J543" s="727"/>
      <c r="K543" s="664"/>
      <c r="L543" s="666"/>
    </row>
    <row r="544" spans="1:12" hidden="1" outlineLevel="1" x14ac:dyDescent="0.35">
      <c r="A544" s="483"/>
      <c r="B544" s="762" t="s">
        <v>1921</v>
      </c>
      <c r="C544" s="664" t="s">
        <v>364</v>
      </c>
      <c r="D544" s="664"/>
      <c r="E544" s="664"/>
      <c r="F544" s="665"/>
      <c r="G544" s="664"/>
      <c r="H544" s="664"/>
      <c r="I544" s="664"/>
      <c r="J544" s="727"/>
      <c r="K544" s="664"/>
      <c r="L544" s="666"/>
    </row>
    <row r="545" spans="1:12" hidden="1" outlineLevel="1" x14ac:dyDescent="0.35">
      <c r="A545" s="483"/>
      <c r="B545" s="762" t="s">
        <v>1921</v>
      </c>
      <c r="C545" s="664" t="s">
        <v>365</v>
      </c>
      <c r="D545" s="664"/>
      <c r="E545" s="664"/>
      <c r="F545" s="665"/>
      <c r="G545" s="664"/>
      <c r="H545" s="664"/>
      <c r="I545" s="664"/>
      <c r="J545" s="727"/>
      <c r="K545" s="664"/>
      <c r="L545" s="666"/>
    </row>
    <row r="546" spans="1:12" hidden="1" outlineLevel="1" x14ac:dyDescent="0.35">
      <c r="A546" s="483"/>
      <c r="B546" s="762" t="s">
        <v>1921</v>
      </c>
      <c r="C546" s="664" t="s">
        <v>366</v>
      </c>
      <c r="D546" s="664"/>
      <c r="E546" s="664"/>
      <c r="F546" s="665"/>
      <c r="G546" s="664"/>
      <c r="H546" s="664"/>
      <c r="I546" s="664"/>
      <c r="J546" s="727"/>
      <c r="K546" s="664"/>
      <c r="L546" s="666"/>
    </row>
    <row r="547" spans="1:12" hidden="1" outlineLevel="1" x14ac:dyDescent="0.35">
      <c r="A547" s="483"/>
      <c r="B547" s="762" t="s">
        <v>1921</v>
      </c>
      <c r="C547" s="664" t="s">
        <v>367</v>
      </c>
      <c r="D547" s="664"/>
      <c r="E547" s="664"/>
      <c r="F547" s="665"/>
      <c r="G547" s="664"/>
      <c r="H547" s="664"/>
      <c r="I547" s="664"/>
      <c r="J547" s="727"/>
      <c r="K547" s="664"/>
      <c r="L547" s="666"/>
    </row>
    <row r="548" spans="1:12" hidden="1" outlineLevel="1" x14ac:dyDescent="0.35">
      <c r="A548" s="483"/>
      <c r="B548" s="762" t="s">
        <v>1921</v>
      </c>
      <c r="C548" s="664" t="s">
        <v>368</v>
      </c>
      <c r="D548" s="664"/>
      <c r="E548" s="664"/>
      <c r="F548" s="665"/>
      <c r="G548" s="664"/>
      <c r="H548" s="664"/>
      <c r="I548" s="664"/>
      <c r="J548" s="727"/>
      <c r="K548" s="664"/>
      <c r="L548" s="666"/>
    </row>
    <row r="549" spans="1:12" hidden="1" outlineLevel="1" x14ac:dyDescent="0.35">
      <c r="A549" s="483"/>
      <c r="B549" s="762" t="s">
        <v>1921</v>
      </c>
      <c r="C549" s="664" t="s">
        <v>369</v>
      </c>
      <c r="D549" s="664"/>
      <c r="E549" s="664"/>
      <c r="F549" s="665"/>
      <c r="G549" s="664"/>
      <c r="H549" s="664"/>
      <c r="I549" s="664"/>
      <c r="J549" s="727"/>
      <c r="K549" s="664"/>
      <c r="L549" s="666"/>
    </row>
    <row r="550" spans="1:12" hidden="1" outlineLevel="1" x14ac:dyDescent="0.35">
      <c r="A550" s="483"/>
      <c r="B550" s="762" t="s">
        <v>1921</v>
      </c>
      <c r="C550" s="664" t="s">
        <v>370</v>
      </c>
      <c r="D550" s="664"/>
      <c r="E550" s="664"/>
      <c r="F550" s="665"/>
      <c r="G550" s="664"/>
      <c r="H550" s="664"/>
      <c r="I550" s="664"/>
      <c r="J550" s="727"/>
      <c r="K550" s="664"/>
      <c r="L550" s="666"/>
    </row>
    <row r="551" spans="1:12" hidden="1" outlineLevel="1" x14ac:dyDescent="0.35">
      <c r="A551" s="483"/>
      <c r="B551" s="762" t="s">
        <v>1921</v>
      </c>
      <c r="C551" s="664" t="s">
        <v>371</v>
      </c>
      <c r="D551" s="664"/>
      <c r="E551" s="664"/>
      <c r="F551" s="665"/>
      <c r="G551" s="664"/>
      <c r="H551" s="664"/>
      <c r="I551" s="664"/>
      <c r="J551" s="727"/>
      <c r="K551" s="664"/>
      <c r="L551" s="666"/>
    </row>
    <row r="552" spans="1:12" hidden="1" outlineLevel="1" x14ac:dyDescent="0.35">
      <c r="A552" s="483"/>
      <c r="B552" s="762" t="s">
        <v>1921</v>
      </c>
      <c r="C552" s="664" t="s">
        <v>372</v>
      </c>
      <c r="D552" s="664"/>
      <c r="E552" s="664"/>
      <c r="F552" s="665"/>
      <c r="G552" s="664"/>
      <c r="H552" s="664"/>
      <c r="I552" s="664"/>
      <c r="J552" s="727"/>
      <c r="K552" s="664"/>
      <c r="L552" s="666"/>
    </row>
    <row r="553" spans="1:12" hidden="1" outlineLevel="1" x14ac:dyDescent="0.35">
      <c r="A553" s="483"/>
      <c r="B553" s="762" t="s">
        <v>1921</v>
      </c>
      <c r="C553" s="664" t="s">
        <v>373</v>
      </c>
      <c r="D553" s="664"/>
      <c r="E553" s="664"/>
      <c r="F553" s="665"/>
      <c r="G553" s="664"/>
      <c r="H553" s="664"/>
      <c r="I553" s="664"/>
      <c r="J553" s="727"/>
      <c r="K553" s="664"/>
      <c r="L553" s="666"/>
    </row>
    <row r="554" spans="1:12" hidden="1" outlineLevel="1" x14ac:dyDescent="0.35">
      <c r="A554" s="483"/>
      <c r="B554" s="762" t="s">
        <v>1921</v>
      </c>
      <c r="C554" s="664" t="s">
        <v>374</v>
      </c>
      <c r="D554" s="664"/>
      <c r="E554" s="664"/>
      <c r="F554" s="665"/>
      <c r="G554" s="664"/>
      <c r="H554" s="664"/>
      <c r="I554" s="664"/>
      <c r="J554" s="727"/>
      <c r="K554" s="664"/>
      <c r="L554" s="666"/>
    </row>
    <row r="555" spans="1:12" hidden="1" outlineLevel="1" x14ac:dyDescent="0.35">
      <c r="A555" s="483"/>
      <c r="B555" s="762" t="s">
        <v>1921</v>
      </c>
      <c r="C555" s="664" t="s">
        <v>375</v>
      </c>
      <c r="D555" s="664"/>
      <c r="E555" s="664"/>
      <c r="F555" s="665"/>
      <c r="G555" s="664"/>
      <c r="H555" s="664"/>
      <c r="I555" s="664"/>
      <c r="J555" s="727"/>
      <c r="K555" s="664"/>
      <c r="L555" s="666"/>
    </row>
    <row r="556" spans="1:12" hidden="1" outlineLevel="1" x14ac:dyDescent="0.35">
      <c r="A556" s="483"/>
      <c r="B556" s="762" t="s">
        <v>1921</v>
      </c>
      <c r="C556" s="664" t="s">
        <v>376</v>
      </c>
      <c r="D556" s="664"/>
      <c r="E556" s="664"/>
      <c r="F556" s="665"/>
      <c r="G556" s="664"/>
      <c r="H556" s="664"/>
      <c r="I556" s="664"/>
      <c r="J556" s="727"/>
      <c r="K556" s="664"/>
      <c r="L556" s="666"/>
    </row>
    <row r="557" spans="1:12" hidden="1" outlineLevel="1" x14ac:dyDescent="0.35">
      <c r="A557" s="483"/>
      <c r="B557" s="762" t="s">
        <v>1921</v>
      </c>
      <c r="C557" s="664" t="s">
        <v>377</v>
      </c>
      <c r="D557" s="664"/>
      <c r="E557" s="664"/>
      <c r="F557" s="665"/>
      <c r="G557" s="664"/>
      <c r="H557" s="664"/>
      <c r="I557" s="664"/>
      <c r="J557" s="727"/>
      <c r="K557" s="664"/>
      <c r="L557" s="666"/>
    </row>
    <row r="558" spans="1:12" hidden="1" outlineLevel="1" x14ac:dyDescent="0.35">
      <c r="A558" s="483"/>
      <c r="B558" s="762" t="s">
        <v>1921</v>
      </c>
      <c r="C558" s="664" t="s">
        <v>378</v>
      </c>
      <c r="D558" s="664"/>
      <c r="E558" s="664"/>
      <c r="F558" s="665"/>
      <c r="G558" s="664"/>
      <c r="H558" s="664"/>
      <c r="I558" s="664"/>
      <c r="J558" s="727"/>
      <c r="K558" s="664"/>
      <c r="L558" s="666"/>
    </row>
    <row r="559" spans="1:12" hidden="1" outlineLevel="1" x14ac:dyDescent="0.35">
      <c r="A559" s="483"/>
      <c r="B559" s="762" t="s">
        <v>1921</v>
      </c>
      <c r="C559" s="664" t="s">
        <v>379</v>
      </c>
      <c r="D559" s="664"/>
      <c r="E559" s="664"/>
      <c r="F559" s="665"/>
      <c r="G559" s="664"/>
      <c r="H559" s="664"/>
      <c r="I559" s="664"/>
      <c r="J559" s="727"/>
      <c r="K559" s="664"/>
      <c r="L559" s="666"/>
    </row>
    <row r="560" spans="1:12" hidden="1" outlineLevel="1" x14ac:dyDescent="0.35">
      <c r="A560" s="483"/>
      <c r="B560" s="762" t="s">
        <v>1921</v>
      </c>
      <c r="C560" s="664" t="s">
        <v>380</v>
      </c>
      <c r="D560" s="664"/>
      <c r="E560" s="664"/>
      <c r="F560" s="665"/>
      <c r="G560" s="664"/>
      <c r="H560" s="664"/>
      <c r="I560" s="664"/>
      <c r="J560" s="727"/>
      <c r="K560" s="664"/>
      <c r="L560" s="666"/>
    </row>
    <row r="561" spans="1:12" hidden="1" outlineLevel="1" x14ac:dyDescent="0.35">
      <c r="A561" s="483"/>
      <c r="B561" s="762" t="s">
        <v>1921</v>
      </c>
      <c r="C561" s="664" t="s">
        <v>381</v>
      </c>
      <c r="D561" s="664"/>
      <c r="E561" s="664"/>
      <c r="F561" s="665"/>
      <c r="G561" s="664"/>
      <c r="H561" s="664"/>
      <c r="I561" s="664"/>
      <c r="J561" s="727"/>
      <c r="K561" s="664"/>
      <c r="L561" s="666"/>
    </row>
    <row r="562" spans="1:12" hidden="1" outlineLevel="1" x14ac:dyDescent="0.35">
      <c r="A562" s="483"/>
      <c r="B562" s="762" t="s">
        <v>1921</v>
      </c>
      <c r="C562" s="664" t="s">
        <v>382</v>
      </c>
      <c r="D562" s="664"/>
      <c r="E562" s="664"/>
      <c r="F562" s="665"/>
      <c r="G562" s="664"/>
      <c r="H562" s="664"/>
      <c r="I562" s="664"/>
      <c r="J562" s="727"/>
      <c r="K562" s="664"/>
      <c r="L562" s="666"/>
    </row>
    <row r="563" spans="1:12" hidden="1" outlineLevel="1" x14ac:dyDescent="0.35">
      <c r="A563" s="483"/>
      <c r="B563" s="762" t="s">
        <v>1921</v>
      </c>
      <c r="C563" s="664" t="s">
        <v>383</v>
      </c>
      <c r="D563" s="664"/>
      <c r="E563" s="664"/>
      <c r="F563" s="665"/>
      <c r="G563" s="664"/>
      <c r="H563" s="664"/>
      <c r="I563" s="664"/>
      <c r="J563" s="727"/>
      <c r="K563" s="664"/>
      <c r="L563" s="666"/>
    </row>
    <row r="564" spans="1:12" hidden="1" outlineLevel="1" x14ac:dyDescent="0.35">
      <c r="A564" s="483"/>
      <c r="B564" s="762" t="s">
        <v>1921</v>
      </c>
      <c r="C564" s="664" t="s">
        <v>384</v>
      </c>
      <c r="D564" s="664"/>
      <c r="E564" s="664"/>
      <c r="F564" s="665"/>
      <c r="G564" s="664"/>
      <c r="H564" s="664"/>
      <c r="I564" s="664"/>
      <c r="J564" s="727"/>
      <c r="K564" s="664"/>
      <c r="L564" s="666"/>
    </row>
    <row r="565" spans="1:12" hidden="1" outlineLevel="1" x14ac:dyDescent="0.35">
      <c r="A565" s="483"/>
      <c r="B565" s="762" t="s">
        <v>1921</v>
      </c>
      <c r="C565" s="664" t="s">
        <v>385</v>
      </c>
      <c r="D565" s="664"/>
      <c r="E565" s="664"/>
      <c r="F565" s="665"/>
      <c r="G565" s="664"/>
      <c r="H565" s="664"/>
      <c r="I565" s="664"/>
      <c r="J565" s="727"/>
      <c r="K565" s="664"/>
      <c r="L565" s="666"/>
    </row>
    <row r="566" spans="1:12" hidden="1" outlineLevel="1" x14ac:dyDescent="0.35">
      <c r="A566" s="483"/>
      <c r="B566" s="762" t="s">
        <v>1921</v>
      </c>
      <c r="C566" s="664" t="s">
        <v>386</v>
      </c>
      <c r="D566" s="664"/>
      <c r="E566" s="664"/>
      <c r="F566" s="665"/>
      <c r="G566" s="664"/>
      <c r="H566" s="664"/>
      <c r="I566" s="664"/>
      <c r="J566" s="727"/>
      <c r="K566" s="664"/>
      <c r="L566" s="666"/>
    </row>
    <row r="567" spans="1:12" hidden="1" outlineLevel="1" x14ac:dyDescent="0.35">
      <c r="A567" s="483"/>
      <c r="B567" s="762" t="s">
        <v>1921</v>
      </c>
      <c r="C567" s="664" t="s">
        <v>387</v>
      </c>
      <c r="D567" s="664"/>
      <c r="E567" s="664"/>
      <c r="F567" s="665"/>
      <c r="G567" s="664"/>
      <c r="H567" s="664"/>
      <c r="I567" s="664"/>
      <c r="J567" s="727"/>
      <c r="K567" s="664"/>
      <c r="L567" s="666"/>
    </row>
    <row r="568" spans="1:12" hidden="1" outlineLevel="1" x14ac:dyDescent="0.35">
      <c r="A568" s="483"/>
      <c r="B568" s="762" t="s">
        <v>1921</v>
      </c>
      <c r="C568" s="664" t="s">
        <v>388</v>
      </c>
      <c r="D568" s="664"/>
      <c r="E568" s="664"/>
      <c r="F568" s="665"/>
      <c r="G568" s="664"/>
      <c r="H568" s="664"/>
      <c r="I568" s="664"/>
      <c r="J568" s="727"/>
      <c r="K568" s="664"/>
      <c r="L568" s="666"/>
    </row>
    <row r="569" spans="1:12" hidden="1" outlineLevel="1" x14ac:dyDescent="0.35">
      <c r="A569" s="483"/>
      <c r="B569" s="762" t="s">
        <v>1921</v>
      </c>
      <c r="C569" s="664" t="s">
        <v>389</v>
      </c>
      <c r="D569" s="664"/>
      <c r="E569" s="664"/>
      <c r="F569" s="665"/>
      <c r="G569" s="664"/>
      <c r="H569" s="664"/>
      <c r="I569" s="664"/>
      <c r="J569" s="727"/>
      <c r="K569" s="664"/>
      <c r="L569" s="666"/>
    </row>
    <row r="570" spans="1:12" hidden="1" outlineLevel="1" x14ac:dyDescent="0.35">
      <c r="A570" s="483"/>
      <c r="B570" s="762" t="s">
        <v>1921</v>
      </c>
      <c r="C570" s="664" t="s">
        <v>390</v>
      </c>
      <c r="D570" s="664"/>
      <c r="E570" s="664"/>
      <c r="F570" s="665"/>
      <c r="G570" s="664"/>
      <c r="H570" s="664"/>
      <c r="I570" s="664"/>
      <c r="J570" s="727"/>
      <c r="K570" s="664"/>
      <c r="L570" s="666"/>
    </row>
    <row r="571" spans="1:12" hidden="1" outlineLevel="1" x14ac:dyDescent="0.35">
      <c r="A571" s="483"/>
      <c r="B571" s="762" t="s">
        <v>1921</v>
      </c>
      <c r="C571" s="664" t="s">
        <v>391</v>
      </c>
      <c r="D571" s="664"/>
      <c r="E571" s="664"/>
      <c r="F571" s="665"/>
      <c r="G571" s="664"/>
      <c r="H571" s="664"/>
      <c r="I571" s="664"/>
      <c r="J571" s="727"/>
      <c r="K571" s="664"/>
      <c r="L571" s="666"/>
    </row>
    <row r="572" spans="1:12" hidden="1" outlineLevel="1" x14ac:dyDescent="0.35">
      <c r="A572" s="483"/>
      <c r="B572" s="762" t="s">
        <v>1921</v>
      </c>
      <c r="C572" s="664" t="s">
        <v>392</v>
      </c>
      <c r="D572" s="664"/>
      <c r="E572" s="664"/>
      <c r="F572" s="665"/>
      <c r="G572" s="664"/>
      <c r="H572" s="664"/>
      <c r="I572" s="664"/>
      <c r="J572" s="727"/>
      <c r="K572" s="664"/>
      <c r="L572" s="666"/>
    </row>
    <row r="573" spans="1:12" hidden="1" outlineLevel="1" x14ac:dyDescent="0.35">
      <c r="A573" s="483"/>
      <c r="B573" s="762" t="s">
        <v>1921</v>
      </c>
      <c r="C573" s="664" t="s">
        <v>393</v>
      </c>
      <c r="D573" s="664"/>
      <c r="E573" s="664"/>
      <c r="F573" s="665"/>
      <c r="G573" s="664"/>
      <c r="H573" s="664"/>
      <c r="I573" s="664"/>
      <c r="J573" s="727"/>
      <c r="K573" s="664"/>
      <c r="L573" s="666"/>
    </row>
    <row r="574" spans="1:12" hidden="1" outlineLevel="1" x14ac:dyDescent="0.35">
      <c r="A574" s="483"/>
      <c r="B574" s="762" t="s">
        <v>1921</v>
      </c>
      <c r="C574" s="664" t="s">
        <v>394</v>
      </c>
      <c r="D574" s="664"/>
      <c r="E574" s="664"/>
      <c r="F574" s="665"/>
      <c r="G574" s="664"/>
      <c r="H574" s="664"/>
      <c r="I574" s="664"/>
      <c r="J574" s="727"/>
      <c r="K574" s="664"/>
      <c r="L574" s="666"/>
    </row>
    <row r="575" spans="1:12" hidden="1" outlineLevel="1" x14ac:dyDescent="0.35">
      <c r="A575" s="483"/>
      <c r="B575" s="762" t="s">
        <v>1921</v>
      </c>
      <c r="C575" s="664" t="s">
        <v>395</v>
      </c>
      <c r="D575" s="664"/>
      <c r="E575" s="664"/>
      <c r="F575" s="665"/>
      <c r="G575" s="664"/>
      <c r="H575" s="664"/>
      <c r="I575" s="664"/>
      <c r="J575" s="727"/>
      <c r="K575" s="664"/>
      <c r="L575" s="666"/>
    </row>
    <row r="576" spans="1:12" hidden="1" outlineLevel="1" x14ac:dyDescent="0.35">
      <c r="A576" s="483"/>
      <c r="B576" s="762" t="s">
        <v>1921</v>
      </c>
      <c r="C576" s="664" t="s">
        <v>396</v>
      </c>
      <c r="D576" s="664"/>
      <c r="E576" s="664"/>
      <c r="F576" s="665"/>
      <c r="G576" s="664"/>
      <c r="H576" s="664"/>
      <c r="I576" s="664"/>
      <c r="J576" s="727"/>
      <c r="K576" s="664"/>
      <c r="L576" s="666"/>
    </row>
    <row r="577" spans="1:12" hidden="1" outlineLevel="1" x14ac:dyDescent="0.35">
      <c r="A577" s="483"/>
      <c r="B577" s="762" t="s">
        <v>1921</v>
      </c>
      <c r="C577" s="664" t="s">
        <v>397</v>
      </c>
      <c r="D577" s="664"/>
      <c r="E577" s="664"/>
      <c r="F577" s="665"/>
      <c r="G577" s="664"/>
      <c r="H577" s="664"/>
      <c r="I577" s="664"/>
      <c r="J577" s="727"/>
      <c r="K577" s="664"/>
      <c r="L577" s="666"/>
    </row>
    <row r="578" spans="1:12" hidden="1" outlineLevel="1" x14ac:dyDescent="0.35">
      <c r="A578" s="483"/>
      <c r="B578" s="762" t="s">
        <v>1921</v>
      </c>
      <c r="C578" s="664" t="s">
        <v>398</v>
      </c>
      <c r="D578" s="664"/>
      <c r="E578" s="664"/>
      <c r="F578" s="665"/>
      <c r="G578" s="664"/>
      <c r="H578" s="664"/>
      <c r="I578" s="664"/>
      <c r="J578" s="727"/>
      <c r="K578" s="664"/>
      <c r="L578" s="666"/>
    </row>
    <row r="579" spans="1:12" hidden="1" outlineLevel="1" x14ac:dyDescent="0.35">
      <c r="A579" s="483"/>
      <c r="B579" s="762" t="s">
        <v>1921</v>
      </c>
      <c r="C579" s="664" t="s">
        <v>399</v>
      </c>
      <c r="D579" s="664"/>
      <c r="E579" s="664"/>
      <c r="F579" s="665"/>
      <c r="G579" s="664"/>
      <c r="H579" s="664"/>
      <c r="I579" s="664"/>
      <c r="J579" s="727"/>
      <c r="K579" s="664"/>
      <c r="L579" s="666"/>
    </row>
    <row r="580" spans="1:12" hidden="1" outlineLevel="1" x14ac:dyDescent="0.35">
      <c r="A580" s="483"/>
      <c r="B580" s="762" t="s">
        <v>1921</v>
      </c>
      <c r="C580" s="664" t="s">
        <v>400</v>
      </c>
      <c r="D580" s="664"/>
      <c r="E580" s="664"/>
      <c r="F580" s="665"/>
      <c r="G580" s="664"/>
      <c r="H580" s="664"/>
      <c r="I580" s="664"/>
      <c r="J580" s="727"/>
      <c r="K580" s="664"/>
      <c r="L580" s="666"/>
    </row>
    <row r="581" spans="1:12" hidden="1" outlineLevel="1" x14ac:dyDescent="0.35">
      <c r="A581" s="483"/>
      <c r="B581" s="762" t="s">
        <v>1921</v>
      </c>
      <c r="C581" s="664" t="s">
        <v>401</v>
      </c>
      <c r="D581" s="664"/>
      <c r="E581" s="664"/>
      <c r="F581" s="665"/>
      <c r="G581" s="664"/>
      <c r="H581" s="664"/>
      <c r="I581" s="664"/>
      <c r="J581" s="727"/>
      <c r="K581" s="664"/>
      <c r="L581" s="666"/>
    </row>
    <row r="582" spans="1:12" hidden="1" outlineLevel="1" x14ac:dyDescent="0.35">
      <c r="A582" s="483"/>
      <c r="B582" s="762" t="s">
        <v>1921</v>
      </c>
      <c r="C582" s="664" t="s">
        <v>402</v>
      </c>
      <c r="D582" s="664"/>
      <c r="E582" s="664"/>
      <c r="F582" s="665"/>
      <c r="G582" s="664"/>
      <c r="H582" s="664"/>
      <c r="I582" s="664"/>
      <c r="J582" s="727"/>
      <c r="K582" s="664"/>
      <c r="L582" s="666"/>
    </row>
    <row r="583" spans="1:12" hidden="1" outlineLevel="1" x14ac:dyDescent="0.35">
      <c r="A583" s="483"/>
      <c r="B583" s="762" t="s">
        <v>1921</v>
      </c>
      <c r="C583" s="664" t="s">
        <v>403</v>
      </c>
      <c r="D583" s="664"/>
      <c r="E583" s="664"/>
      <c r="F583" s="665"/>
      <c r="G583" s="664"/>
      <c r="H583" s="664"/>
      <c r="I583" s="664"/>
      <c r="J583" s="727"/>
      <c r="K583" s="664"/>
      <c r="L583" s="666"/>
    </row>
    <row r="584" spans="1:12" hidden="1" outlineLevel="1" x14ac:dyDescent="0.35">
      <c r="A584" s="483"/>
      <c r="B584" s="762" t="s">
        <v>1921</v>
      </c>
      <c r="C584" s="664" t="s">
        <v>404</v>
      </c>
      <c r="D584" s="664"/>
      <c r="E584" s="664"/>
      <c r="F584" s="665"/>
      <c r="G584" s="664"/>
      <c r="H584" s="664"/>
      <c r="I584" s="664"/>
      <c r="J584" s="727"/>
      <c r="K584" s="664"/>
      <c r="L584" s="666"/>
    </row>
    <row r="585" spans="1:12" hidden="1" outlineLevel="1" x14ac:dyDescent="0.35">
      <c r="A585" s="483"/>
      <c r="B585" s="762" t="s">
        <v>1921</v>
      </c>
      <c r="C585" s="664" t="s">
        <v>405</v>
      </c>
      <c r="D585" s="664"/>
      <c r="E585" s="664"/>
      <c r="F585" s="665"/>
      <c r="G585" s="664"/>
      <c r="H585" s="664"/>
      <c r="I585" s="664"/>
      <c r="J585" s="727"/>
      <c r="K585" s="664"/>
      <c r="L585" s="666"/>
    </row>
    <row r="586" spans="1:12" hidden="1" outlineLevel="1" x14ac:dyDescent="0.35">
      <c r="A586" s="483"/>
      <c r="B586" s="762" t="s">
        <v>1921</v>
      </c>
      <c r="C586" s="664" t="s">
        <v>406</v>
      </c>
      <c r="D586" s="664"/>
      <c r="E586" s="664"/>
      <c r="F586" s="665"/>
      <c r="G586" s="664"/>
      <c r="H586" s="664"/>
      <c r="I586" s="664"/>
      <c r="J586" s="727"/>
      <c r="K586" s="664"/>
      <c r="L586" s="666"/>
    </row>
    <row r="587" spans="1:12" hidden="1" outlineLevel="1" x14ac:dyDescent="0.35">
      <c r="A587" s="483"/>
      <c r="B587" s="762" t="s">
        <v>1921</v>
      </c>
      <c r="C587" s="664" t="s">
        <v>407</v>
      </c>
      <c r="D587" s="664"/>
      <c r="E587" s="664"/>
      <c r="F587" s="665"/>
      <c r="G587" s="664"/>
      <c r="H587" s="664"/>
      <c r="I587" s="664"/>
      <c r="J587" s="727"/>
      <c r="K587" s="664"/>
      <c r="L587" s="666"/>
    </row>
    <row r="588" spans="1:12" hidden="1" outlineLevel="1" x14ac:dyDescent="0.35">
      <c r="A588" s="483"/>
      <c r="B588" s="762" t="s">
        <v>1921</v>
      </c>
      <c r="C588" s="664" t="s">
        <v>408</v>
      </c>
      <c r="D588" s="664"/>
      <c r="E588" s="664"/>
      <c r="F588" s="665"/>
      <c r="G588" s="664"/>
      <c r="H588" s="664"/>
      <c r="I588" s="664"/>
      <c r="J588" s="727"/>
      <c r="K588" s="664"/>
      <c r="L588" s="666"/>
    </row>
    <row r="589" spans="1:12" hidden="1" outlineLevel="1" x14ac:dyDescent="0.35">
      <c r="A589" s="483"/>
      <c r="B589" s="762" t="s">
        <v>1921</v>
      </c>
      <c r="C589" s="664" t="s">
        <v>409</v>
      </c>
      <c r="D589" s="664"/>
      <c r="E589" s="664"/>
      <c r="F589" s="665"/>
      <c r="G589" s="664"/>
      <c r="H589" s="664"/>
      <c r="I589" s="664"/>
      <c r="J589" s="727"/>
      <c r="K589" s="664"/>
      <c r="L589" s="666"/>
    </row>
    <row r="590" spans="1:12" hidden="1" outlineLevel="1" x14ac:dyDescent="0.35">
      <c r="A590" s="483"/>
      <c r="B590" s="762" t="s">
        <v>1921</v>
      </c>
      <c r="C590" s="664" t="s">
        <v>410</v>
      </c>
      <c r="D590" s="664"/>
      <c r="E590" s="664"/>
      <c r="F590" s="665"/>
      <c r="G590" s="664"/>
      <c r="H590" s="664"/>
      <c r="I590" s="664"/>
      <c r="J590" s="727"/>
      <c r="K590" s="664"/>
      <c r="L590" s="666"/>
    </row>
    <row r="591" spans="1:12" hidden="1" outlineLevel="1" x14ac:dyDescent="0.35">
      <c r="A591" s="483"/>
      <c r="B591" s="762" t="s">
        <v>1921</v>
      </c>
      <c r="C591" s="664" t="s">
        <v>411</v>
      </c>
      <c r="D591" s="664"/>
      <c r="E591" s="664"/>
      <c r="F591" s="665"/>
      <c r="G591" s="664"/>
      <c r="H591" s="664"/>
      <c r="I591" s="664"/>
      <c r="J591" s="727"/>
      <c r="K591" s="664"/>
      <c r="L591" s="666"/>
    </row>
    <row r="592" spans="1:12" hidden="1" outlineLevel="1" x14ac:dyDescent="0.35">
      <c r="A592" s="483"/>
      <c r="B592" s="762" t="s">
        <v>1921</v>
      </c>
      <c r="C592" s="664" t="s">
        <v>412</v>
      </c>
      <c r="D592" s="664"/>
      <c r="E592" s="664"/>
      <c r="F592" s="665"/>
      <c r="G592" s="664"/>
      <c r="H592" s="664"/>
      <c r="I592" s="664"/>
      <c r="J592" s="727"/>
      <c r="K592" s="664"/>
      <c r="L592" s="666"/>
    </row>
    <row r="593" spans="1:12" hidden="1" outlineLevel="1" x14ac:dyDescent="0.35">
      <c r="A593" s="483"/>
      <c r="B593" s="762" t="s">
        <v>1921</v>
      </c>
      <c r="C593" s="664" t="s">
        <v>413</v>
      </c>
      <c r="D593" s="664"/>
      <c r="E593" s="664"/>
      <c r="F593" s="665"/>
      <c r="G593" s="664"/>
      <c r="H593" s="664"/>
      <c r="I593" s="664"/>
      <c r="J593" s="727"/>
      <c r="K593" s="664"/>
      <c r="L593" s="666"/>
    </row>
    <row r="594" spans="1:12" hidden="1" outlineLevel="1" x14ac:dyDescent="0.35">
      <c r="A594" s="483"/>
      <c r="B594" s="762" t="s">
        <v>1921</v>
      </c>
      <c r="C594" s="664" t="s">
        <v>414</v>
      </c>
      <c r="D594" s="664"/>
      <c r="E594" s="664"/>
      <c r="F594" s="665"/>
      <c r="G594" s="664"/>
      <c r="H594" s="664"/>
      <c r="I594" s="664"/>
      <c r="J594" s="727"/>
      <c r="K594" s="664"/>
      <c r="L594" s="666"/>
    </row>
    <row r="595" spans="1:12" hidden="1" outlineLevel="1" x14ac:dyDescent="0.35">
      <c r="A595" s="483"/>
      <c r="B595" s="762" t="s">
        <v>1921</v>
      </c>
      <c r="C595" s="664" t="s">
        <v>415</v>
      </c>
      <c r="D595" s="664"/>
      <c r="E595" s="664"/>
      <c r="F595" s="665"/>
      <c r="G595" s="664"/>
      <c r="H595" s="664"/>
      <c r="I595" s="664"/>
      <c r="J595" s="727"/>
      <c r="K595" s="664"/>
      <c r="L595" s="666"/>
    </row>
    <row r="596" spans="1:12" hidden="1" outlineLevel="1" x14ac:dyDescent="0.35">
      <c r="A596" s="483"/>
      <c r="B596" s="762" t="s">
        <v>1921</v>
      </c>
      <c r="C596" s="664" t="s">
        <v>416</v>
      </c>
      <c r="D596" s="664"/>
      <c r="E596" s="664"/>
      <c r="F596" s="665"/>
      <c r="G596" s="664"/>
      <c r="H596" s="664"/>
      <c r="I596" s="664"/>
      <c r="J596" s="727"/>
      <c r="K596" s="664"/>
      <c r="L596" s="666"/>
    </row>
    <row r="597" spans="1:12" hidden="1" outlineLevel="1" x14ac:dyDescent="0.35">
      <c r="A597" s="483"/>
      <c r="B597" s="762" t="s">
        <v>1921</v>
      </c>
      <c r="C597" s="664" t="s">
        <v>417</v>
      </c>
      <c r="D597" s="664"/>
      <c r="E597" s="664"/>
      <c r="F597" s="665"/>
      <c r="G597" s="664"/>
      <c r="H597" s="664"/>
      <c r="I597" s="664"/>
      <c r="J597" s="727"/>
      <c r="K597" s="664"/>
      <c r="L597" s="666"/>
    </row>
    <row r="598" spans="1:12" hidden="1" outlineLevel="1" x14ac:dyDescent="0.35">
      <c r="A598" s="483"/>
      <c r="B598" s="762" t="s">
        <v>1921</v>
      </c>
      <c r="C598" s="664" t="s">
        <v>418</v>
      </c>
      <c r="D598" s="664"/>
      <c r="E598" s="664"/>
      <c r="F598" s="665"/>
      <c r="G598" s="664"/>
      <c r="H598" s="664"/>
      <c r="I598" s="664"/>
      <c r="J598" s="727"/>
      <c r="K598" s="664"/>
      <c r="L598" s="666"/>
    </row>
    <row r="599" spans="1:12" hidden="1" outlineLevel="1" x14ac:dyDescent="0.35">
      <c r="A599" s="483"/>
      <c r="B599" s="762" t="s">
        <v>1921</v>
      </c>
      <c r="C599" s="664" t="s">
        <v>419</v>
      </c>
      <c r="D599" s="664"/>
      <c r="E599" s="664"/>
      <c r="F599" s="665"/>
      <c r="G599" s="664"/>
      <c r="H599" s="664"/>
      <c r="I599" s="664"/>
      <c r="J599" s="727"/>
      <c r="K599" s="664"/>
      <c r="L599" s="666"/>
    </row>
    <row r="600" spans="1:12" hidden="1" outlineLevel="1" x14ac:dyDescent="0.35">
      <c r="A600" s="483"/>
      <c r="B600" s="762" t="s">
        <v>1921</v>
      </c>
      <c r="C600" s="664" t="s">
        <v>420</v>
      </c>
      <c r="D600" s="664"/>
      <c r="E600" s="664"/>
      <c r="F600" s="665"/>
      <c r="G600" s="664"/>
      <c r="H600" s="664"/>
      <c r="I600" s="664"/>
      <c r="J600" s="727"/>
      <c r="K600" s="664"/>
      <c r="L600" s="666"/>
    </row>
    <row r="601" spans="1:12" hidden="1" outlineLevel="1" x14ac:dyDescent="0.35">
      <c r="A601" s="483"/>
      <c r="B601" s="762" t="s">
        <v>1921</v>
      </c>
      <c r="C601" s="664" t="s">
        <v>421</v>
      </c>
      <c r="D601" s="664"/>
      <c r="E601" s="664"/>
      <c r="F601" s="665"/>
      <c r="G601" s="664"/>
      <c r="H601" s="664"/>
      <c r="I601" s="664"/>
      <c r="J601" s="727"/>
      <c r="K601" s="664"/>
      <c r="L601" s="666"/>
    </row>
    <row r="602" spans="1:12" hidden="1" outlineLevel="1" x14ac:dyDescent="0.35">
      <c r="A602" s="483"/>
      <c r="B602" s="762" t="s">
        <v>1921</v>
      </c>
      <c r="C602" s="664" t="s">
        <v>422</v>
      </c>
      <c r="D602" s="664"/>
      <c r="E602" s="664"/>
      <c r="F602" s="665"/>
      <c r="G602" s="664"/>
      <c r="H602" s="664"/>
      <c r="I602" s="664"/>
      <c r="J602" s="727"/>
      <c r="K602" s="664"/>
      <c r="L602" s="666"/>
    </row>
    <row r="603" spans="1:12" hidden="1" outlineLevel="1" x14ac:dyDescent="0.35">
      <c r="A603" s="483"/>
      <c r="B603" s="762" t="s">
        <v>1921</v>
      </c>
      <c r="C603" s="664" t="s">
        <v>423</v>
      </c>
      <c r="D603" s="664"/>
      <c r="E603" s="664"/>
      <c r="F603" s="665"/>
      <c r="G603" s="664"/>
      <c r="H603" s="664"/>
      <c r="I603" s="664"/>
      <c r="J603" s="727"/>
      <c r="K603" s="664"/>
      <c r="L603" s="666"/>
    </row>
    <row r="604" spans="1:12" hidden="1" outlineLevel="1" x14ac:dyDescent="0.35">
      <c r="A604" s="483"/>
      <c r="B604" s="762" t="s">
        <v>1921</v>
      </c>
      <c r="C604" s="664" t="s">
        <v>424</v>
      </c>
      <c r="D604" s="664"/>
      <c r="E604" s="664"/>
      <c r="F604" s="665"/>
      <c r="G604" s="664"/>
      <c r="H604" s="664"/>
      <c r="I604" s="664"/>
      <c r="J604" s="727"/>
      <c r="K604" s="664"/>
      <c r="L604" s="666"/>
    </row>
    <row r="605" spans="1:12" hidden="1" outlineLevel="1" x14ac:dyDescent="0.35">
      <c r="A605" s="483"/>
      <c r="B605" s="762" t="s">
        <v>1921</v>
      </c>
      <c r="C605" s="664" t="s">
        <v>425</v>
      </c>
      <c r="D605" s="664"/>
      <c r="E605" s="664"/>
      <c r="F605" s="665"/>
      <c r="G605" s="664"/>
      <c r="H605" s="664"/>
      <c r="I605" s="664"/>
      <c r="J605" s="727"/>
      <c r="K605" s="664"/>
      <c r="L605" s="666"/>
    </row>
    <row r="606" spans="1:12" hidden="1" outlineLevel="1" x14ac:dyDescent="0.35">
      <c r="A606" s="483"/>
      <c r="B606" s="762" t="s">
        <v>1921</v>
      </c>
      <c r="C606" s="664" t="s">
        <v>426</v>
      </c>
      <c r="D606" s="664"/>
      <c r="E606" s="664"/>
      <c r="F606" s="665"/>
      <c r="G606" s="664"/>
      <c r="H606" s="664"/>
      <c r="I606" s="664"/>
      <c r="J606" s="727"/>
      <c r="K606" s="664"/>
      <c r="L606" s="666"/>
    </row>
    <row r="607" spans="1:12" hidden="1" outlineLevel="1" x14ac:dyDescent="0.35">
      <c r="A607" s="483"/>
      <c r="B607" s="762" t="s">
        <v>1921</v>
      </c>
      <c r="C607" s="664" t="s">
        <v>427</v>
      </c>
      <c r="D607" s="664"/>
      <c r="E607" s="664"/>
      <c r="F607" s="665"/>
      <c r="G607" s="664"/>
      <c r="H607" s="664"/>
      <c r="I607" s="664"/>
      <c r="J607" s="727"/>
      <c r="K607" s="664"/>
      <c r="L607" s="666"/>
    </row>
    <row r="608" spans="1:12" hidden="1" outlineLevel="1" x14ac:dyDescent="0.35">
      <c r="A608" s="483"/>
      <c r="B608" s="762" t="s">
        <v>1921</v>
      </c>
      <c r="C608" s="664" t="s">
        <v>428</v>
      </c>
      <c r="D608" s="664"/>
      <c r="E608" s="664"/>
      <c r="F608" s="665"/>
      <c r="G608" s="664"/>
      <c r="H608" s="664"/>
      <c r="I608" s="664"/>
      <c r="J608" s="727"/>
      <c r="K608" s="664"/>
      <c r="L608" s="666"/>
    </row>
    <row r="609" spans="1:12" hidden="1" outlineLevel="1" x14ac:dyDescent="0.35">
      <c r="A609" s="483"/>
      <c r="B609" s="762" t="s">
        <v>1921</v>
      </c>
      <c r="C609" s="664" t="s">
        <v>429</v>
      </c>
      <c r="D609" s="664"/>
      <c r="E609" s="664"/>
      <c r="F609" s="665"/>
      <c r="G609" s="664"/>
      <c r="H609" s="664"/>
      <c r="I609" s="664"/>
      <c r="J609" s="727"/>
      <c r="K609" s="664"/>
      <c r="L609" s="666"/>
    </row>
    <row r="610" spans="1:12" hidden="1" outlineLevel="1" x14ac:dyDescent="0.35">
      <c r="A610" s="483"/>
      <c r="B610" s="762" t="s">
        <v>1921</v>
      </c>
      <c r="C610" s="664" t="s">
        <v>430</v>
      </c>
      <c r="D610" s="664"/>
      <c r="E610" s="664"/>
      <c r="F610" s="665"/>
      <c r="G610" s="664"/>
      <c r="H610" s="664"/>
      <c r="I610" s="664"/>
      <c r="J610" s="727"/>
      <c r="K610" s="664"/>
      <c r="L610" s="666"/>
    </row>
    <row r="611" spans="1:12" hidden="1" outlineLevel="1" x14ac:dyDescent="0.35">
      <c r="A611" s="483"/>
      <c r="B611" s="762" t="s">
        <v>1921</v>
      </c>
      <c r="C611" s="664" t="s">
        <v>431</v>
      </c>
      <c r="D611" s="664"/>
      <c r="E611" s="664"/>
      <c r="F611" s="665"/>
      <c r="G611" s="664"/>
      <c r="H611" s="664"/>
      <c r="I611" s="664"/>
      <c r="J611" s="727"/>
      <c r="K611" s="664"/>
      <c r="L611" s="666"/>
    </row>
    <row r="612" spans="1:12" hidden="1" outlineLevel="1" x14ac:dyDescent="0.35">
      <c r="A612" s="483"/>
      <c r="B612" s="762" t="s">
        <v>1921</v>
      </c>
      <c r="C612" s="664" t="s">
        <v>432</v>
      </c>
      <c r="D612" s="664"/>
      <c r="E612" s="664"/>
      <c r="F612" s="665"/>
      <c r="G612" s="664"/>
      <c r="H612" s="664"/>
      <c r="I612" s="664"/>
      <c r="J612" s="727"/>
      <c r="K612" s="664"/>
      <c r="L612" s="666"/>
    </row>
    <row r="613" spans="1:12" hidden="1" outlineLevel="1" x14ac:dyDescent="0.35">
      <c r="A613" s="483"/>
      <c r="B613" s="762" t="s">
        <v>1921</v>
      </c>
      <c r="C613" s="664" t="s">
        <v>433</v>
      </c>
      <c r="D613" s="664"/>
      <c r="E613" s="664"/>
      <c r="F613" s="665"/>
      <c r="G613" s="664"/>
      <c r="H613" s="664"/>
      <c r="I613" s="664"/>
      <c r="J613" s="727"/>
      <c r="K613" s="664"/>
      <c r="L613" s="666"/>
    </row>
    <row r="614" spans="1:12" hidden="1" outlineLevel="1" x14ac:dyDescent="0.35">
      <c r="A614" s="483"/>
      <c r="B614" s="762" t="s">
        <v>1921</v>
      </c>
      <c r="C614" s="664" t="s">
        <v>434</v>
      </c>
      <c r="D614" s="664"/>
      <c r="E614" s="664"/>
      <c r="F614" s="665"/>
      <c r="G614" s="664"/>
      <c r="H614" s="664"/>
      <c r="I614" s="664"/>
      <c r="J614" s="727"/>
      <c r="K614" s="664"/>
      <c r="L614" s="666"/>
    </row>
    <row r="615" spans="1:12" hidden="1" outlineLevel="1" x14ac:dyDescent="0.35">
      <c r="A615" s="483"/>
      <c r="B615" s="762" t="s">
        <v>1921</v>
      </c>
      <c r="C615" s="664" t="s">
        <v>435</v>
      </c>
      <c r="D615" s="664"/>
      <c r="E615" s="664"/>
      <c r="F615" s="665"/>
      <c r="G615" s="664"/>
      <c r="H615" s="664"/>
      <c r="I615" s="664"/>
      <c r="J615" s="727"/>
      <c r="K615" s="664"/>
      <c r="L615" s="666"/>
    </row>
    <row r="616" spans="1:12" hidden="1" outlineLevel="1" x14ac:dyDescent="0.35">
      <c r="A616" s="483"/>
      <c r="B616" s="762" t="s">
        <v>1921</v>
      </c>
      <c r="C616" s="664" t="s">
        <v>436</v>
      </c>
      <c r="D616" s="664"/>
      <c r="E616" s="664"/>
      <c r="F616" s="665"/>
      <c r="G616" s="664"/>
      <c r="H616" s="664"/>
      <c r="I616" s="664"/>
      <c r="J616" s="727"/>
      <c r="K616" s="664"/>
      <c r="L616" s="666"/>
    </row>
    <row r="617" spans="1:12" hidden="1" outlineLevel="1" x14ac:dyDescent="0.35">
      <c r="A617" s="483"/>
      <c r="B617" s="762" t="s">
        <v>1921</v>
      </c>
      <c r="C617" s="664" t="s">
        <v>437</v>
      </c>
      <c r="D617" s="664"/>
      <c r="E617" s="664"/>
      <c r="F617" s="665"/>
      <c r="G617" s="664"/>
      <c r="H617" s="664"/>
      <c r="I617" s="664"/>
      <c r="J617" s="727"/>
      <c r="K617" s="664"/>
      <c r="L617" s="666"/>
    </row>
    <row r="618" spans="1:12" hidden="1" outlineLevel="1" x14ac:dyDescent="0.35">
      <c r="A618" s="483"/>
      <c r="B618" s="762" t="s">
        <v>1921</v>
      </c>
      <c r="C618" s="664" t="s">
        <v>438</v>
      </c>
      <c r="D618" s="664"/>
      <c r="E618" s="664"/>
      <c r="F618" s="665"/>
      <c r="G618" s="664"/>
      <c r="H618" s="664"/>
      <c r="I618" s="664"/>
      <c r="J618" s="727"/>
      <c r="K618" s="664"/>
      <c r="L618" s="666"/>
    </row>
    <row r="619" spans="1:12" hidden="1" outlineLevel="1" x14ac:dyDescent="0.35">
      <c r="A619" s="483"/>
      <c r="B619" s="762" t="s">
        <v>1921</v>
      </c>
      <c r="C619" s="664" t="s">
        <v>439</v>
      </c>
      <c r="D619" s="664"/>
      <c r="E619" s="664"/>
      <c r="F619" s="665"/>
      <c r="G619" s="664"/>
      <c r="H619" s="664"/>
      <c r="I619" s="664"/>
      <c r="J619" s="727"/>
      <c r="K619" s="664"/>
      <c r="L619" s="666"/>
    </row>
    <row r="620" spans="1:12" hidden="1" outlineLevel="1" x14ac:dyDescent="0.35">
      <c r="A620" s="483"/>
      <c r="B620" s="762" t="s">
        <v>1921</v>
      </c>
      <c r="C620" s="664" t="s">
        <v>440</v>
      </c>
      <c r="D620" s="664"/>
      <c r="E620" s="664"/>
      <c r="F620" s="665"/>
      <c r="G620" s="664"/>
      <c r="H620" s="664"/>
      <c r="I620" s="664"/>
      <c r="J620" s="727"/>
      <c r="K620" s="664"/>
      <c r="L620" s="666"/>
    </row>
    <row r="621" spans="1:12" hidden="1" outlineLevel="1" x14ac:dyDescent="0.35">
      <c r="A621" s="483"/>
      <c r="B621" s="762" t="s">
        <v>1921</v>
      </c>
      <c r="C621" s="664" t="s">
        <v>441</v>
      </c>
      <c r="D621" s="664"/>
      <c r="E621" s="664"/>
      <c r="F621" s="665"/>
      <c r="G621" s="664"/>
      <c r="H621" s="664"/>
      <c r="I621" s="664"/>
      <c r="J621" s="727"/>
      <c r="K621" s="664"/>
      <c r="L621" s="666"/>
    </row>
    <row r="622" spans="1:12" hidden="1" outlineLevel="1" x14ac:dyDescent="0.35">
      <c r="A622" s="483"/>
      <c r="B622" s="762" t="s">
        <v>1921</v>
      </c>
      <c r="C622" s="664" t="s">
        <v>442</v>
      </c>
      <c r="D622" s="664"/>
      <c r="E622" s="664"/>
      <c r="F622" s="665"/>
      <c r="G622" s="664"/>
      <c r="H622" s="664"/>
      <c r="I622" s="664"/>
      <c r="J622" s="727"/>
      <c r="K622" s="664"/>
      <c r="L622" s="666"/>
    </row>
    <row r="623" spans="1:12" hidden="1" outlineLevel="1" x14ac:dyDescent="0.35">
      <c r="A623" s="483"/>
      <c r="B623" s="762" t="s">
        <v>1921</v>
      </c>
      <c r="C623" s="664" t="s">
        <v>443</v>
      </c>
      <c r="D623" s="664"/>
      <c r="E623" s="664"/>
      <c r="F623" s="665"/>
      <c r="G623" s="664"/>
      <c r="H623" s="664"/>
      <c r="I623" s="664"/>
      <c r="J623" s="727"/>
      <c r="K623" s="664"/>
      <c r="L623" s="666"/>
    </row>
    <row r="624" spans="1:12" hidden="1" outlineLevel="1" x14ac:dyDescent="0.35">
      <c r="A624" s="483"/>
      <c r="B624" s="762" t="s">
        <v>1921</v>
      </c>
      <c r="C624" s="664" t="s">
        <v>444</v>
      </c>
      <c r="D624" s="664"/>
      <c r="E624" s="664"/>
      <c r="F624" s="665"/>
      <c r="G624" s="664"/>
      <c r="H624" s="664"/>
      <c r="I624" s="664"/>
      <c r="J624" s="727"/>
      <c r="K624" s="664"/>
      <c r="L624" s="666"/>
    </row>
    <row r="625" spans="1:12" hidden="1" outlineLevel="1" x14ac:dyDescent="0.35">
      <c r="A625" s="483"/>
      <c r="B625" s="762" t="s">
        <v>1921</v>
      </c>
      <c r="C625" s="664" t="s">
        <v>445</v>
      </c>
      <c r="D625" s="664"/>
      <c r="E625" s="664"/>
      <c r="F625" s="665"/>
      <c r="G625" s="664"/>
      <c r="H625" s="664"/>
      <c r="I625" s="664"/>
      <c r="J625" s="727"/>
      <c r="K625" s="664"/>
      <c r="L625" s="666"/>
    </row>
    <row r="626" spans="1:12" hidden="1" outlineLevel="1" x14ac:dyDescent="0.35">
      <c r="A626" s="483"/>
      <c r="B626" s="762" t="s">
        <v>1921</v>
      </c>
      <c r="C626" s="664" t="s">
        <v>446</v>
      </c>
      <c r="D626" s="664"/>
      <c r="E626" s="664"/>
      <c r="F626" s="665"/>
      <c r="G626" s="664"/>
      <c r="H626" s="664"/>
      <c r="I626" s="664"/>
      <c r="J626" s="727"/>
      <c r="K626" s="664"/>
      <c r="L626" s="666"/>
    </row>
    <row r="627" spans="1:12" hidden="1" outlineLevel="1" x14ac:dyDescent="0.35">
      <c r="A627" s="483"/>
      <c r="B627" s="762" t="s">
        <v>1921</v>
      </c>
      <c r="C627" s="664" t="s">
        <v>447</v>
      </c>
      <c r="D627" s="664"/>
      <c r="E627" s="664"/>
      <c r="F627" s="665"/>
      <c r="G627" s="664"/>
      <c r="H627" s="664"/>
      <c r="I627" s="664"/>
      <c r="J627" s="727"/>
      <c r="K627" s="664"/>
      <c r="L627" s="666"/>
    </row>
    <row r="628" spans="1:12" hidden="1" outlineLevel="1" x14ac:dyDescent="0.35">
      <c r="A628" s="483"/>
      <c r="B628" s="762" t="s">
        <v>1921</v>
      </c>
      <c r="C628" s="664" t="s">
        <v>448</v>
      </c>
      <c r="D628" s="664"/>
      <c r="E628" s="664"/>
      <c r="F628" s="665"/>
      <c r="G628" s="664"/>
      <c r="H628" s="664"/>
      <c r="I628" s="664"/>
      <c r="J628" s="727"/>
      <c r="K628" s="664"/>
      <c r="L628" s="666"/>
    </row>
    <row r="629" spans="1:12" hidden="1" outlineLevel="1" x14ac:dyDescent="0.35">
      <c r="A629" s="483"/>
      <c r="B629" s="762" t="s">
        <v>1921</v>
      </c>
      <c r="C629" s="664" t="s">
        <v>449</v>
      </c>
      <c r="D629" s="664"/>
      <c r="E629" s="664"/>
      <c r="F629" s="665"/>
      <c r="G629" s="664"/>
      <c r="H629" s="664"/>
      <c r="I629" s="664"/>
      <c r="J629" s="727"/>
      <c r="K629" s="664"/>
      <c r="L629" s="666"/>
    </row>
    <row r="630" spans="1:12" hidden="1" outlineLevel="1" x14ac:dyDescent="0.35">
      <c r="A630" s="483"/>
      <c r="B630" s="762" t="s">
        <v>1921</v>
      </c>
      <c r="C630" s="664" t="s">
        <v>450</v>
      </c>
      <c r="D630" s="664"/>
      <c r="E630" s="664"/>
      <c r="F630" s="665"/>
      <c r="G630" s="664"/>
      <c r="H630" s="664"/>
      <c r="I630" s="664"/>
      <c r="J630" s="727"/>
      <c r="K630" s="664"/>
      <c r="L630" s="666"/>
    </row>
    <row r="631" spans="1:12" hidden="1" outlineLevel="1" x14ac:dyDescent="0.35">
      <c r="A631" s="483"/>
      <c r="B631" s="762" t="s">
        <v>1921</v>
      </c>
      <c r="C631" s="664" t="s">
        <v>451</v>
      </c>
      <c r="D631" s="664"/>
      <c r="E631" s="664"/>
      <c r="F631" s="665"/>
      <c r="G631" s="664"/>
      <c r="H631" s="664"/>
      <c r="I631" s="664"/>
      <c r="J631" s="727"/>
      <c r="K631" s="664"/>
      <c r="L631" s="666"/>
    </row>
    <row r="632" spans="1:12" hidden="1" outlineLevel="1" x14ac:dyDescent="0.35">
      <c r="A632" s="483"/>
      <c r="B632" s="762" t="s">
        <v>1921</v>
      </c>
      <c r="C632" s="664" t="s">
        <v>452</v>
      </c>
      <c r="D632" s="664"/>
      <c r="E632" s="664"/>
      <c r="F632" s="665"/>
      <c r="G632" s="664"/>
      <c r="H632" s="664"/>
      <c r="I632" s="664"/>
      <c r="J632" s="727"/>
      <c r="K632" s="664"/>
      <c r="L632" s="666"/>
    </row>
    <row r="633" spans="1:12" hidden="1" outlineLevel="1" x14ac:dyDescent="0.35">
      <c r="A633" s="483"/>
      <c r="B633" s="762" t="s">
        <v>1921</v>
      </c>
      <c r="C633" s="664" t="s">
        <v>453</v>
      </c>
      <c r="D633" s="664"/>
      <c r="E633" s="664"/>
      <c r="F633" s="665"/>
      <c r="G633" s="664"/>
      <c r="H633" s="664"/>
      <c r="I633" s="664"/>
      <c r="J633" s="727"/>
      <c r="K633" s="664"/>
      <c r="L633" s="666"/>
    </row>
    <row r="634" spans="1:12" hidden="1" outlineLevel="1" x14ac:dyDescent="0.35">
      <c r="A634" s="483"/>
      <c r="B634" s="762" t="s">
        <v>1921</v>
      </c>
      <c r="C634" s="664" t="s">
        <v>454</v>
      </c>
      <c r="D634" s="664"/>
      <c r="E634" s="664"/>
      <c r="F634" s="665"/>
      <c r="G634" s="664"/>
      <c r="H634" s="664"/>
      <c r="I634" s="664"/>
      <c r="J634" s="727"/>
      <c r="K634" s="664"/>
      <c r="L634" s="666"/>
    </row>
    <row r="635" spans="1:12" hidden="1" outlineLevel="1" x14ac:dyDescent="0.35">
      <c r="A635" s="483"/>
      <c r="B635" s="762" t="s">
        <v>1921</v>
      </c>
      <c r="C635" s="664" t="s">
        <v>455</v>
      </c>
      <c r="D635" s="664"/>
      <c r="E635" s="664"/>
      <c r="F635" s="665"/>
      <c r="G635" s="664"/>
      <c r="H635" s="664"/>
      <c r="I635" s="664"/>
      <c r="J635" s="727"/>
      <c r="K635" s="664"/>
      <c r="L635" s="666"/>
    </row>
    <row r="636" spans="1:12" hidden="1" outlineLevel="1" x14ac:dyDescent="0.35">
      <c r="A636" s="483"/>
      <c r="B636" s="762" t="s">
        <v>1921</v>
      </c>
      <c r="C636" s="664" t="s">
        <v>456</v>
      </c>
      <c r="D636" s="664"/>
      <c r="E636" s="664"/>
      <c r="F636" s="665"/>
      <c r="G636" s="664"/>
      <c r="H636" s="664"/>
      <c r="I636" s="664"/>
      <c r="J636" s="727"/>
      <c r="K636" s="664"/>
      <c r="L636" s="666"/>
    </row>
    <row r="637" spans="1:12" hidden="1" outlineLevel="1" x14ac:dyDescent="0.35">
      <c r="A637" s="483"/>
      <c r="B637" s="762" t="s">
        <v>1921</v>
      </c>
      <c r="C637" s="664" t="s">
        <v>457</v>
      </c>
      <c r="D637" s="664"/>
      <c r="E637" s="664"/>
      <c r="F637" s="665"/>
      <c r="G637" s="664"/>
      <c r="H637" s="664"/>
      <c r="I637" s="664"/>
      <c r="J637" s="727"/>
      <c r="K637" s="664"/>
      <c r="L637" s="666"/>
    </row>
    <row r="638" spans="1:12" hidden="1" outlineLevel="1" x14ac:dyDescent="0.35">
      <c r="A638" s="483"/>
      <c r="B638" s="762" t="s">
        <v>1921</v>
      </c>
      <c r="C638" s="664" t="s">
        <v>458</v>
      </c>
      <c r="D638" s="664"/>
      <c r="E638" s="664"/>
      <c r="F638" s="665"/>
      <c r="G638" s="664"/>
      <c r="H638" s="664"/>
      <c r="I638" s="664"/>
      <c r="J638" s="727"/>
      <c r="K638" s="664"/>
      <c r="L638" s="666"/>
    </row>
    <row r="639" spans="1:12" hidden="1" outlineLevel="1" x14ac:dyDescent="0.35">
      <c r="A639" s="483"/>
      <c r="B639" s="762" t="s">
        <v>1921</v>
      </c>
      <c r="C639" s="664" t="s">
        <v>459</v>
      </c>
      <c r="D639" s="664"/>
      <c r="E639" s="664"/>
      <c r="F639" s="665"/>
      <c r="G639" s="664"/>
      <c r="H639" s="664"/>
      <c r="I639" s="664"/>
      <c r="J639" s="727"/>
      <c r="K639" s="664"/>
      <c r="L639" s="666"/>
    </row>
    <row r="640" spans="1:12" hidden="1" outlineLevel="1" x14ac:dyDescent="0.35">
      <c r="A640" s="483"/>
      <c r="B640" s="762" t="s">
        <v>1921</v>
      </c>
      <c r="C640" s="664" t="s">
        <v>460</v>
      </c>
      <c r="D640" s="664"/>
      <c r="E640" s="664"/>
      <c r="F640" s="665"/>
      <c r="G640" s="664"/>
      <c r="H640" s="664"/>
      <c r="I640" s="664"/>
      <c r="J640" s="727"/>
      <c r="K640" s="664"/>
      <c r="L640" s="666"/>
    </row>
    <row r="641" spans="1:12" hidden="1" outlineLevel="1" x14ac:dyDescent="0.35">
      <c r="A641" s="483"/>
      <c r="B641" s="762" t="s">
        <v>1921</v>
      </c>
      <c r="C641" s="664" t="s">
        <v>461</v>
      </c>
      <c r="D641" s="664"/>
      <c r="E641" s="664"/>
      <c r="F641" s="665"/>
      <c r="G641" s="664"/>
      <c r="H641" s="664"/>
      <c r="I641" s="664"/>
      <c r="J641" s="727"/>
      <c r="K641" s="664"/>
      <c r="L641" s="666"/>
    </row>
    <row r="642" spans="1:12" hidden="1" outlineLevel="1" x14ac:dyDescent="0.35">
      <c r="A642" s="483"/>
      <c r="B642" s="762" t="s">
        <v>1921</v>
      </c>
      <c r="C642" s="664" t="s">
        <v>462</v>
      </c>
      <c r="D642" s="664"/>
      <c r="E642" s="664"/>
      <c r="F642" s="665"/>
      <c r="G642" s="664"/>
      <c r="H642" s="664"/>
      <c r="I642" s="664"/>
      <c r="J642" s="727"/>
      <c r="K642" s="664"/>
      <c r="L642" s="666"/>
    </row>
    <row r="643" spans="1:12" hidden="1" outlineLevel="1" x14ac:dyDescent="0.35">
      <c r="A643" s="483"/>
      <c r="B643" s="762" t="s">
        <v>1921</v>
      </c>
      <c r="C643" s="664" t="s">
        <v>463</v>
      </c>
      <c r="D643" s="664"/>
      <c r="E643" s="664"/>
      <c r="F643" s="665"/>
      <c r="G643" s="664"/>
      <c r="H643" s="664"/>
      <c r="I643" s="664"/>
      <c r="J643" s="727"/>
      <c r="K643" s="664"/>
      <c r="L643" s="666"/>
    </row>
    <row r="644" spans="1:12" hidden="1" outlineLevel="1" x14ac:dyDescent="0.35">
      <c r="A644" s="483"/>
      <c r="B644" s="762" t="s">
        <v>1921</v>
      </c>
      <c r="C644" s="664" t="s">
        <v>464</v>
      </c>
      <c r="D644" s="664"/>
      <c r="E644" s="664"/>
      <c r="F644" s="665"/>
      <c r="G644" s="664"/>
      <c r="H644" s="664"/>
      <c r="I644" s="664"/>
      <c r="J644" s="727"/>
      <c r="K644" s="664"/>
      <c r="L644" s="666"/>
    </row>
    <row r="645" spans="1:12" hidden="1" outlineLevel="1" x14ac:dyDescent="0.35">
      <c r="A645" s="483"/>
      <c r="B645" s="762" t="s">
        <v>1921</v>
      </c>
      <c r="C645" s="664" t="s">
        <v>465</v>
      </c>
      <c r="D645" s="664"/>
      <c r="E645" s="664"/>
      <c r="F645" s="665"/>
      <c r="G645" s="664"/>
      <c r="H645" s="664"/>
      <c r="I645" s="664"/>
      <c r="J645" s="727"/>
      <c r="K645" s="664"/>
      <c r="L645" s="666"/>
    </row>
    <row r="646" spans="1:12" hidden="1" outlineLevel="1" x14ac:dyDescent="0.35">
      <c r="A646" s="483"/>
      <c r="B646" s="762" t="s">
        <v>1921</v>
      </c>
      <c r="C646" s="664" t="s">
        <v>466</v>
      </c>
      <c r="D646" s="664"/>
      <c r="E646" s="664"/>
      <c r="F646" s="665"/>
      <c r="G646" s="664"/>
      <c r="H646" s="664"/>
      <c r="I646" s="664"/>
      <c r="J646" s="727"/>
      <c r="K646" s="664"/>
      <c r="L646" s="666"/>
    </row>
    <row r="647" spans="1:12" hidden="1" outlineLevel="1" x14ac:dyDescent="0.35">
      <c r="A647" s="483"/>
      <c r="B647" s="762" t="s">
        <v>1921</v>
      </c>
      <c r="C647" s="664" t="s">
        <v>467</v>
      </c>
      <c r="D647" s="664"/>
      <c r="E647" s="664"/>
      <c r="F647" s="665"/>
      <c r="G647" s="664"/>
      <c r="H647" s="664"/>
      <c r="I647" s="664"/>
      <c r="J647" s="727"/>
      <c r="K647" s="664"/>
      <c r="L647" s="666"/>
    </row>
    <row r="648" spans="1:12" hidden="1" outlineLevel="1" x14ac:dyDescent="0.35">
      <c r="A648" s="483"/>
      <c r="B648" s="762" t="s">
        <v>1921</v>
      </c>
      <c r="C648" s="664" t="s">
        <v>468</v>
      </c>
      <c r="D648" s="664"/>
      <c r="E648" s="664"/>
      <c r="F648" s="665"/>
      <c r="G648" s="664"/>
      <c r="H648" s="664"/>
      <c r="I648" s="664"/>
      <c r="J648" s="727"/>
      <c r="K648" s="664"/>
      <c r="L648" s="666"/>
    </row>
    <row r="649" spans="1:12" hidden="1" outlineLevel="1" x14ac:dyDescent="0.35">
      <c r="A649" s="483"/>
      <c r="B649" s="762" t="s">
        <v>1921</v>
      </c>
      <c r="C649" s="664" t="s">
        <v>469</v>
      </c>
      <c r="D649" s="664"/>
      <c r="E649" s="664"/>
      <c r="F649" s="665"/>
      <c r="G649" s="664"/>
      <c r="H649" s="664"/>
      <c r="I649" s="664"/>
      <c r="J649" s="727"/>
      <c r="K649" s="664"/>
      <c r="L649" s="666"/>
    </row>
    <row r="650" spans="1:12" hidden="1" outlineLevel="1" x14ac:dyDescent="0.35">
      <c r="A650" s="483"/>
      <c r="B650" s="762" t="s">
        <v>1921</v>
      </c>
      <c r="C650" s="664" t="s">
        <v>571</v>
      </c>
      <c r="D650" s="664"/>
      <c r="E650" s="664"/>
      <c r="F650" s="665"/>
      <c r="G650" s="664"/>
      <c r="H650" s="664"/>
      <c r="I650" s="664"/>
      <c r="J650" s="727"/>
      <c r="K650" s="664"/>
      <c r="L650" s="666"/>
    </row>
    <row r="651" spans="1:12" hidden="1" outlineLevel="1" x14ac:dyDescent="0.35">
      <c r="A651" s="483"/>
      <c r="B651" s="762" t="s">
        <v>1921</v>
      </c>
      <c r="C651" s="664" t="s">
        <v>470</v>
      </c>
      <c r="D651" s="664"/>
      <c r="E651" s="664"/>
      <c r="F651" s="665"/>
      <c r="G651" s="664"/>
      <c r="H651" s="664"/>
      <c r="I651" s="664"/>
      <c r="J651" s="727"/>
      <c r="K651" s="664"/>
      <c r="L651" s="666"/>
    </row>
    <row r="652" spans="1:12" hidden="1" outlineLevel="1" x14ac:dyDescent="0.35">
      <c r="A652" s="483"/>
      <c r="B652" s="762" t="s">
        <v>1921</v>
      </c>
      <c r="C652" s="664" t="s">
        <v>471</v>
      </c>
      <c r="D652" s="664"/>
      <c r="E652" s="664"/>
      <c r="F652" s="665"/>
      <c r="G652" s="664"/>
      <c r="H652" s="664"/>
      <c r="I652" s="664"/>
      <c r="J652" s="727"/>
      <c r="K652" s="664"/>
      <c r="L652" s="666"/>
    </row>
    <row r="653" spans="1:12" hidden="1" outlineLevel="1" x14ac:dyDescent="0.35">
      <c r="A653" s="483"/>
      <c r="B653" s="762" t="s">
        <v>1921</v>
      </c>
      <c r="C653" s="664" t="s">
        <v>472</v>
      </c>
      <c r="D653" s="664"/>
      <c r="E653" s="664"/>
      <c r="F653" s="665"/>
      <c r="G653" s="664"/>
      <c r="H653" s="664"/>
      <c r="I653" s="664"/>
      <c r="J653" s="727"/>
      <c r="K653" s="664"/>
      <c r="L653" s="666"/>
    </row>
    <row r="654" spans="1:12" hidden="1" outlineLevel="1" x14ac:dyDescent="0.35">
      <c r="A654" s="483"/>
      <c r="B654" s="762" t="s">
        <v>1921</v>
      </c>
      <c r="C654" s="664" t="s">
        <v>473</v>
      </c>
      <c r="D654" s="664"/>
      <c r="E654" s="664"/>
      <c r="F654" s="665"/>
      <c r="G654" s="664"/>
      <c r="H654" s="664"/>
      <c r="I654" s="664"/>
      <c r="J654" s="727"/>
      <c r="K654" s="664"/>
      <c r="L654" s="666"/>
    </row>
    <row r="655" spans="1:12" hidden="1" outlineLevel="1" x14ac:dyDescent="0.35">
      <c r="A655" s="483"/>
      <c r="B655" s="762" t="s">
        <v>1921</v>
      </c>
      <c r="C655" s="664" t="s">
        <v>474</v>
      </c>
      <c r="D655" s="664"/>
      <c r="E655" s="664"/>
      <c r="F655" s="665"/>
      <c r="G655" s="664"/>
      <c r="H655" s="664"/>
      <c r="I655" s="664"/>
      <c r="J655" s="727"/>
      <c r="K655" s="664"/>
      <c r="L655" s="666"/>
    </row>
    <row r="656" spans="1:12" hidden="1" outlineLevel="1" x14ac:dyDescent="0.35">
      <c r="A656" s="483"/>
      <c r="B656" s="762" t="s">
        <v>1921</v>
      </c>
      <c r="C656" s="664" t="s">
        <v>475</v>
      </c>
      <c r="D656" s="664"/>
      <c r="E656" s="664"/>
      <c r="F656" s="665"/>
      <c r="G656" s="664"/>
      <c r="H656" s="664"/>
      <c r="I656" s="664"/>
      <c r="J656" s="727"/>
      <c r="K656" s="664"/>
      <c r="L656" s="666"/>
    </row>
    <row r="657" spans="1:12" hidden="1" outlineLevel="1" x14ac:dyDescent="0.35">
      <c r="A657" s="483"/>
      <c r="B657" s="762" t="s">
        <v>1921</v>
      </c>
      <c r="C657" s="664" t="s">
        <v>476</v>
      </c>
      <c r="D657" s="664"/>
      <c r="E657" s="664"/>
      <c r="F657" s="665"/>
      <c r="G657" s="664"/>
      <c r="H657" s="664"/>
      <c r="I657" s="664"/>
      <c r="J657" s="727"/>
      <c r="K657" s="664"/>
      <c r="L657" s="666"/>
    </row>
    <row r="658" spans="1:12" hidden="1" outlineLevel="1" x14ac:dyDescent="0.35">
      <c r="A658" s="483"/>
      <c r="B658" s="762" t="s">
        <v>1921</v>
      </c>
      <c r="C658" s="664" t="s">
        <v>477</v>
      </c>
      <c r="D658" s="664"/>
      <c r="E658" s="664"/>
      <c r="F658" s="665"/>
      <c r="G658" s="664"/>
      <c r="H658" s="664"/>
      <c r="I658" s="664"/>
      <c r="J658" s="727"/>
      <c r="K658" s="664"/>
      <c r="L658" s="666"/>
    </row>
    <row r="659" spans="1:12" hidden="1" outlineLevel="1" x14ac:dyDescent="0.35">
      <c r="A659" s="483"/>
      <c r="B659" s="762" t="s">
        <v>1921</v>
      </c>
      <c r="C659" s="664" t="s">
        <v>478</v>
      </c>
      <c r="D659" s="664"/>
      <c r="E659" s="664"/>
      <c r="F659" s="665"/>
      <c r="G659" s="664"/>
      <c r="H659" s="664"/>
      <c r="I659" s="664"/>
      <c r="J659" s="727"/>
      <c r="K659" s="664"/>
      <c r="L659" s="666"/>
    </row>
    <row r="660" spans="1:12" hidden="1" outlineLevel="1" x14ac:dyDescent="0.35">
      <c r="A660" s="483"/>
      <c r="B660" s="762" t="s">
        <v>1921</v>
      </c>
      <c r="C660" s="664" t="s">
        <v>479</v>
      </c>
      <c r="D660" s="664"/>
      <c r="E660" s="664"/>
      <c r="F660" s="665"/>
      <c r="G660" s="664"/>
      <c r="H660" s="664"/>
      <c r="I660" s="664"/>
      <c r="J660" s="727"/>
      <c r="K660" s="664"/>
      <c r="L660" s="666"/>
    </row>
    <row r="661" spans="1:12" hidden="1" outlineLevel="1" x14ac:dyDescent="0.35">
      <c r="A661" s="483"/>
      <c r="B661" s="762" t="s">
        <v>1921</v>
      </c>
      <c r="C661" s="664" t="s">
        <v>480</v>
      </c>
      <c r="D661" s="664"/>
      <c r="E661" s="664"/>
      <c r="F661" s="665"/>
      <c r="G661" s="664"/>
      <c r="H661" s="664"/>
      <c r="I661" s="664"/>
      <c r="J661" s="727"/>
      <c r="K661" s="664"/>
      <c r="L661" s="666"/>
    </row>
    <row r="662" spans="1:12" hidden="1" outlineLevel="1" x14ac:dyDescent="0.35">
      <c r="A662" s="483"/>
      <c r="B662" s="762" t="s">
        <v>1921</v>
      </c>
      <c r="C662" s="664" t="s">
        <v>481</v>
      </c>
      <c r="D662" s="664"/>
      <c r="E662" s="664"/>
      <c r="F662" s="665"/>
      <c r="G662" s="664"/>
      <c r="H662" s="664"/>
      <c r="I662" s="664"/>
      <c r="J662" s="727"/>
      <c r="K662" s="664"/>
      <c r="L662" s="666"/>
    </row>
    <row r="663" spans="1:12" hidden="1" outlineLevel="1" x14ac:dyDescent="0.35">
      <c r="A663" s="483"/>
      <c r="B663" s="762" t="s">
        <v>1921</v>
      </c>
      <c r="C663" s="664" t="s">
        <v>482</v>
      </c>
      <c r="D663" s="664"/>
      <c r="E663" s="664"/>
      <c r="F663" s="665"/>
      <c r="G663" s="664"/>
      <c r="H663" s="664"/>
      <c r="I663" s="664"/>
      <c r="J663" s="727"/>
      <c r="K663" s="664"/>
      <c r="L663" s="666"/>
    </row>
    <row r="664" spans="1:12" hidden="1" outlineLevel="1" x14ac:dyDescent="0.35">
      <c r="A664" s="483"/>
      <c r="B664" s="762" t="s">
        <v>1921</v>
      </c>
      <c r="C664" s="664" t="s">
        <v>483</v>
      </c>
      <c r="D664" s="664"/>
      <c r="E664" s="664"/>
      <c r="F664" s="665"/>
      <c r="G664" s="664"/>
      <c r="H664" s="664"/>
      <c r="I664" s="664"/>
      <c r="J664" s="727"/>
      <c r="K664" s="664"/>
      <c r="L664" s="666"/>
    </row>
    <row r="665" spans="1:12" hidden="1" outlineLevel="1" x14ac:dyDescent="0.35">
      <c r="A665" s="483"/>
      <c r="B665" s="762" t="s">
        <v>1921</v>
      </c>
      <c r="C665" s="664" t="s">
        <v>484</v>
      </c>
      <c r="D665" s="664"/>
      <c r="E665" s="664"/>
      <c r="F665" s="665"/>
      <c r="G665" s="664"/>
      <c r="H665" s="664"/>
      <c r="I665" s="664"/>
      <c r="J665" s="727"/>
      <c r="K665" s="664"/>
      <c r="L665" s="666"/>
    </row>
    <row r="666" spans="1:12" hidden="1" outlineLevel="1" x14ac:dyDescent="0.35">
      <c r="A666" s="483"/>
      <c r="B666" s="762" t="s">
        <v>1921</v>
      </c>
      <c r="C666" s="664" t="s">
        <v>485</v>
      </c>
      <c r="D666" s="664"/>
      <c r="E666" s="664"/>
      <c r="F666" s="665"/>
      <c r="G666" s="664"/>
      <c r="H666" s="664"/>
      <c r="I666" s="664"/>
      <c r="J666" s="727"/>
      <c r="K666" s="664"/>
      <c r="L666" s="666"/>
    </row>
    <row r="667" spans="1:12" hidden="1" outlineLevel="1" x14ac:dyDescent="0.35">
      <c r="A667" s="483"/>
      <c r="B667" s="762" t="s">
        <v>1921</v>
      </c>
      <c r="C667" s="664" t="s">
        <v>486</v>
      </c>
      <c r="D667" s="664"/>
      <c r="E667" s="664"/>
      <c r="F667" s="665"/>
      <c r="G667" s="664"/>
      <c r="H667" s="664"/>
      <c r="I667" s="664"/>
      <c r="J667" s="727"/>
      <c r="K667" s="664"/>
      <c r="L667" s="666"/>
    </row>
    <row r="668" spans="1:12" hidden="1" outlineLevel="1" x14ac:dyDescent="0.35">
      <c r="A668" s="483"/>
      <c r="B668" s="762" t="s">
        <v>1921</v>
      </c>
      <c r="C668" s="664" t="s">
        <v>487</v>
      </c>
      <c r="D668" s="664"/>
      <c r="E668" s="664"/>
      <c r="F668" s="665"/>
      <c r="G668" s="664"/>
      <c r="H668" s="664"/>
      <c r="I668" s="664"/>
      <c r="J668" s="727"/>
      <c r="K668" s="664"/>
      <c r="L668" s="666"/>
    </row>
    <row r="669" spans="1:12" hidden="1" outlineLevel="1" x14ac:dyDescent="0.35">
      <c r="A669" s="483"/>
      <c r="B669" s="762" t="s">
        <v>1921</v>
      </c>
      <c r="C669" s="664" t="s">
        <v>488</v>
      </c>
      <c r="D669" s="664"/>
      <c r="E669" s="664"/>
      <c r="F669" s="665"/>
      <c r="G669" s="664"/>
      <c r="H669" s="664"/>
      <c r="I669" s="664"/>
      <c r="J669" s="727"/>
      <c r="K669" s="664"/>
      <c r="L669" s="666"/>
    </row>
    <row r="670" spans="1:12" ht="15" hidden="1" outlineLevel="1" thickBot="1" x14ac:dyDescent="0.4">
      <c r="A670" s="483"/>
      <c r="B670" s="761"/>
      <c r="C670" s="670"/>
      <c r="D670" s="670"/>
      <c r="E670" s="670"/>
      <c r="F670" s="671"/>
      <c r="G670" s="670"/>
      <c r="H670" s="670"/>
      <c r="I670" s="670"/>
      <c r="J670" s="728"/>
      <c r="K670" s="670"/>
      <c r="L670" s="711"/>
    </row>
    <row r="671" spans="1:12" ht="15.5" collapsed="1" thickTop="1" thickBot="1" x14ac:dyDescent="0.4">
      <c r="B671" s="2"/>
    </row>
    <row r="672" spans="1:12" ht="23" thickBot="1" x14ac:dyDescent="0.4">
      <c r="B672" s="524"/>
      <c r="C672" s="525" t="s">
        <v>489</v>
      </c>
      <c r="D672" s="525"/>
      <c r="E672" s="525"/>
      <c r="F672" s="525"/>
      <c r="G672" s="525"/>
      <c r="H672" s="525"/>
      <c r="I672" s="525"/>
      <c r="J672" s="525"/>
      <c r="K672" s="527"/>
      <c r="L672" s="526"/>
    </row>
    <row r="673" spans="1:19" s="2" customFormat="1" ht="15.5" hidden="1" outlineLevel="1" thickTop="1" thickBot="1" x14ac:dyDescent="0.4">
      <c r="B673" s="721"/>
      <c r="C673" s="719" t="s">
        <v>79</v>
      </c>
      <c r="D673" s="719"/>
      <c r="E673" s="719"/>
      <c r="F673" s="719"/>
      <c r="G673" s="719"/>
      <c r="H673" s="719"/>
      <c r="I673" s="719"/>
      <c r="J673" s="719"/>
      <c r="K673" s="719"/>
      <c r="L673" s="720"/>
      <c r="M673" s="385"/>
      <c r="S673" s="783"/>
    </row>
    <row r="674" spans="1:19" ht="15" hidden="1" outlineLevel="1" thickTop="1" x14ac:dyDescent="0.35">
      <c r="A674" s="483"/>
      <c r="B674" s="759" t="s">
        <v>1922</v>
      </c>
      <c r="C674" s="757" t="s">
        <v>490</v>
      </c>
      <c r="D674" s="664"/>
      <c r="E674" s="664"/>
      <c r="F674" s="665"/>
      <c r="G674" s="664" t="s">
        <v>241</v>
      </c>
      <c r="H674" s="664"/>
      <c r="I674" s="664"/>
      <c r="J674" s="727"/>
      <c r="K674" s="664"/>
      <c r="L674" s="666"/>
    </row>
    <row r="675" spans="1:19" hidden="1" outlineLevel="1" x14ac:dyDescent="0.35">
      <c r="A675" s="483"/>
      <c r="B675" s="762" t="s">
        <v>1922</v>
      </c>
      <c r="C675" s="664" t="s">
        <v>491</v>
      </c>
      <c r="D675" s="664"/>
      <c r="E675" s="664"/>
      <c r="F675" s="665"/>
      <c r="G675" s="664" t="s">
        <v>265</v>
      </c>
      <c r="H675" s="664"/>
      <c r="I675" s="664"/>
      <c r="J675" s="727"/>
      <c r="K675" s="664"/>
      <c r="L675" s="666"/>
    </row>
    <row r="676" spans="1:19" hidden="1" outlineLevel="1" x14ac:dyDescent="0.35">
      <c r="A676" s="483"/>
      <c r="B676" s="762" t="s">
        <v>1922</v>
      </c>
      <c r="C676" s="664" t="s">
        <v>492</v>
      </c>
      <c r="D676" s="664"/>
      <c r="E676" s="664"/>
      <c r="F676" s="665"/>
      <c r="G676" s="664" t="s">
        <v>302</v>
      </c>
      <c r="H676" s="664"/>
      <c r="I676" s="664"/>
      <c r="J676" s="727"/>
      <c r="K676" s="664"/>
      <c r="L676" s="666"/>
    </row>
    <row r="677" spans="1:19" hidden="1" outlineLevel="1" x14ac:dyDescent="0.35">
      <c r="A677" s="483"/>
      <c r="B677" s="762" t="s">
        <v>1922</v>
      </c>
      <c r="C677" s="664" t="s">
        <v>493</v>
      </c>
      <c r="D677" s="664"/>
      <c r="E677" s="664"/>
      <c r="F677" s="665"/>
      <c r="G677" s="664" t="s">
        <v>272</v>
      </c>
      <c r="H677" s="664"/>
      <c r="I677" s="664"/>
      <c r="J677" s="727"/>
      <c r="K677" s="664"/>
      <c r="L677" s="666"/>
    </row>
    <row r="678" spans="1:19" hidden="1" outlineLevel="1" x14ac:dyDescent="0.35">
      <c r="A678" s="483"/>
      <c r="B678" s="762" t="s">
        <v>1922</v>
      </c>
      <c r="C678" s="664" t="s">
        <v>494</v>
      </c>
      <c r="D678" s="664"/>
      <c r="E678" s="664"/>
      <c r="F678" s="665"/>
      <c r="G678" s="664" t="s">
        <v>261</v>
      </c>
      <c r="H678" s="664"/>
      <c r="I678" s="664"/>
      <c r="J678" s="727"/>
      <c r="K678" s="664"/>
      <c r="L678" s="666"/>
    </row>
    <row r="679" spans="1:19" hidden="1" outlineLevel="1" x14ac:dyDescent="0.35">
      <c r="A679" s="483"/>
      <c r="B679" s="762" t="s">
        <v>1922</v>
      </c>
      <c r="C679" s="664" t="s">
        <v>495</v>
      </c>
      <c r="D679" s="664"/>
      <c r="E679" s="664"/>
      <c r="F679" s="665"/>
      <c r="G679" s="664" t="s">
        <v>266</v>
      </c>
      <c r="H679" s="664"/>
      <c r="I679" s="664"/>
      <c r="J679" s="727"/>
      <c r="K679" s="664"/>
      <c r="L679" s="666"/>
    </row>
    <row r="680" spans="1:19" hidden="1" outlineLevel="1" x14ac:dyDescent="0.35">
      <c r="A680" s="483"/>
      <c r="B680" s="762" t="s">
        <v>1922</v>
      </c>
      <c r="C680" s="664" t="s">
        <v>496</v>
      </c>
      <c r="D680" s="664"/>
      <c r="E680" s="664"/>
      <c r="F680" s="665"/>
      <c r="G680" s="664" t="s">
        <v>273</v>
      </c>
      <c r="H680" s="664"/>
      <c r="I680" s="664"/>
      <c r="J680" s="727"/>
      <c r="K680" s="664"/>
      <c r="L680" s="666"/>
    </row>
    <row r="681" spans="1:19" hidden="1" outlineLevel="1" x14ac:dyDescent="0.35">
      <c r="A681" s="483"/>
      <c r="B681" s="762" t="s">
        <v>1922</v>
      </c>
      <c r="C681" s="664" t="s">
        <v>497</v>
      </c>
      <c r="D681" s="664"/>
      <c r="E681" s="664"/>
      <c r="F681" s="665"/>
      <c r="G681" s="664" t="s">
        <v>295</v>
      </c>
      <c r="H681" s="664"/>
      <c r="I681" s="664"/>
      <c r="J681" s="727"/>
      <c r="K681" s="664"/>
      <c r="L681" s="666"/>
    </row>
    <row r="682" spans="1:19" hidden="1" outlineLevel="1" x14ac:dyDescent="0.35">
      <c r="A682" s="483"/>
      <c r="B682" s="762" t="s">
        <v>1922</v>
      </c>
      <c r="C682" s="664" t="s">
        <v>498</v>
      </c>
      <c r="D682" s="664"/>
      <c r="E682" s="664"/>
      <c r="F682" s="665"/>
      <c r="G682" s="664" t="s">
        <v>370</v>
      </c>
      <c r="H682" s="664"/>
      <c r="I682" s="664"/>
      <c r="J682" s="727"/>
      <c r="K682" s="664"/>
      <c r="L682" s="666"/>
    </row>
    <row r="683" spans="1:19" hidden="1" outlineLevel="1" x14ac:dyDescent="0.35">
      <c r="A683" s="483"/>
      <c r="B683" s="762" t="s">
        <v>1922</v>
      </c>
      <c r="C683" s="664" t="s">
        <v>499</v>
      </c>
      <c r="D683" s="664"/>
      <c r="E683" s="664"/>
      <c r="F683" s="665"/>
      <c r="G683" s="664" t="s">
        <v>299</v>
      </c>
      <c r="H683" s="664"/>
      <c r="I683" s="664"/>
      <c r="J683" s="727"/>
      <c r="K683" s="664"/>
      <c r="L683" s="666"/>
    </row>
    <row r="684" spans="1:19" hidden="1" outlineLevel="1" x14ac:dyDescent="0.35">
      <c r="A684" s="483"/>
      <c r="B684" s="762" t="s">
        <v>1922</v>
      </c>
      <c r="C684" s="664" t="s">
        <v>500</v>
      </c>
      <c r="D684" s="664"/>
      <c r="E684" s="664"/>
      <c r="F684" s="665"/>
      <c r="G684" s="664" t="s">
        <v>317</v>
      </c>
      <c r="H684" s="664"/>
      <c r="I684" s="664"/>
      <c r="J684" s="727"/>
      <c r="K684" s="664"/>
      <c r="L684" s="666"/>
    </row>
    <row r="685" spans="1:19" hidden="1" outlineLevel="1" x14ac:dyDescent="0.35">
      <c r="A685" s="483"/>
      <c r="B685" s="762" t="s">
        <v>1922</v>
      </c>
      <c r="C685" s="664" t="s">
        <v>501</v>
      </c>
      <c r="D685" s="664"/>
      <c r="E685" s="664"/>
      <c r="F685" s="665"/>
      <c r="G685" s="664" t="s">
        <v>260</v>
      </c>
      <c r="H685" s="664"/>
      <c r="I685" s="664"/>
      <c r="J685" s="727"/>
      <c r="K685" s="664"/>
      <c r="L685" s="666"/>
    </row>
    <row r="686" spans="1:19" hidden="1" outlineLevel="1" x14ac:dyDescent="0.35">
      <c r="A686" s="483"/>
      <c r="B686" s="762" t="s">
        <v>1922</v>
      </c>
      <c r="C686" s="664" t="s">
        <v>502</v>
      </c>
      <c r="D686" s="664"/>
      <c r="E686" s="664"/>
      <c r="F686" s="665"/>
      <c r="G686" s="664" t="s">
        <v>259</v>
      </c>
      <c r="H686" s="664"/>
      <c r="I686" s="664"/>
      <c r="J686" s="727"/>
      <c r="K686" s="664"/>
      <c r="L686" s="666"/>
    </row>
    <row r="687" spans="1:19" hidden="1" outlineLevel="1" x14ac:dyDescent="0.35">
      <c r="A687" s="483"/>
      <c r="B687" s="762" t="s">
        <v>1922</v>
      </c>
      <c r="C687" s="664" t="s">
        <v>503</v>
      </c>
      <c r="D687" s="664"/>
      <c r="E687" s="664"/>
      <c r="F687" s="665"/>
      <c r="G687" s="664" t="s">
        <v>262</v>
      </c>
      <c r="H687" s="664"/>
      <c r="I687" s="664"/>
      <c r="J687" s="727"/>
      <c r="K687" s="664"/>
      <c r="L687" s="666"/>
    </row>
    <row r="688" spans="1:19" hidden="1" outlineLevel="1" x14ac:dyDescent="0.35">
      <c r="A688" s="483"/>
      <c r="B688" s="762" t="s">
        <v>1922</v>
      </c>
      <c r="C688" s="664" t="s">
        <v>504</v>
      </c>
      <c r="D688" s="664"/>
      <c r="E688" s="664"/>
      <c r="F688" s="665"/>
      <c r="G688" s="664" t="s">
        <v>354</v>
      </c>
      <c r="H688" s="664"/>
      <c r="I688" s="664"/>
      <c r="J688" s="727"/>
      <c r="K688" s="664"/>
      <c r="L688" s="666"/>
    </row>
    <row r="689" spans="1:12" hidden="1" outlineLevel="1" x14ac:dyDescent="0.35">
      <c r="A689" s="483"/>
      <c r="B689" s="762" t="s">
        <v>1922</v>
      </c>
      <c r="C689" s="664" t="s">
        <v>505</v>
      </c>
      <c r="D689" s="664"/>
      <c r="E689" s="664"/>
      <c r="F689" s="665"/>
      <c r="G689" s="664" t="s">
        <v>346</v>
      </c>
      <c r="H689" s="664"/>
      <c r="I689" s="664"/>
      <c r="J689" s="727"/>
      <c r="K689" s="664"/>
      <c r="L689" s="666"/>
    </row>
    <row r="690" spans="1:12" hidden="1" outlineLevel="1" x14ac:dyDescent="0.35">
      <c r="A690" s="483"/>
      <c r="B690" s="762" t="s">
        <v>1922</v>
      </c>
      <c r="C690" s="664" t="s">
        <v>506</v>
      </c>
      <c r="D690" s="664"/>
      <c r="E690" s="664"/>
      <c r="F690" s="665"/>
      <c r="G690" s="664" t="s">
        <v>253</v>
      </c>
      <c r="H690" s="664"/>
      <c r="I690" s="664"/>
      <c r="J690" s="727"/>
      <c r="K690" s="664"/>
      <c r="L690" s="666"/>
    </row>
    <row r="691" spans="1:12" hidden="1" outlineLevel="1" x14ac:dyDescent="0.35">
      <c r="A691" s="483"/>
      <c r="B691" s="762" t="s">
        <v>1922</v>
      </c>
      <c r="C691" s="664" t="s">
        <v>507</v>
      </c>
      <c r="D691" s="664"/>
      <c r="E691" s="664"/>
      <c r="F691" s="665"/>
      <c r="G691" s="664" t="s">
        <v>360</v>
      </c>
      <c r="H691" s="664"/>
      <c r="I691" s="664"/>
      <c r="J691" s="727"/>
      <c r="K691" s="664"/>
      <c r="L691" s="666"/>
    </row>
    <row r="692" spans="1:12" hidden="1" outlineLevel="1" x14ac:dyDescent="0.35">
      <c r="A692" s="483"/>
      <c r="B692" s="762" t="s">
        <v>1922</v>
      </c>
      <c r="C692" s="664" t="s">
        <v>508</v>
      </c>
      <c r="D692" s="664"/>
      <c r="E692" s="664"/>
      <c r="F692" s="665"/>
      <c r="G692" s="664" t="s">
        <v>268</v>
      </c>
      <c r="H692" s="664"/>
      <c r="I692" s="664"/>
      <c r="J692" s="727"/>
      <c r="K692" s="664"/>
      <c r="L692" s="666"/>
    </row>
    <row r="693" spans="1:12" hidden="1" outlineLevel="1" x14ac:dyDescent="0.35">
      <c r="A693" s="483"/>
      <c r="B693" s="762" t="s">
        <v>1922</v>
      </c>
      <c r="C693" s="664" t="s">
        <v>509</v>
      </c>
      <c r="D693" s="664"/>
      <c r="E693" s="664"/>
      <c r="F693" s="665"/>
      <c r="G693" s="664" t="s">
        <v>300</v>
      </c>
      <c r="H693" s="664"/>
      <c r="I693" s="664"/>
      <c r="J693" s="727"/>
      <c r="K693" s="664"/>
      <c r="L693" s="666"/>
    </row>
    <row r="694" spans="1:12" hidden="1" outlineLevel="1" x14ac:dyDescent="0.35">
      <c r="A694" s="483"/>
      <c r="B694" s="762" t="s">
        <v>1922</v>
      </c>
      <c r="C694" s="664" t="s">
        <v>510</v>
      </c>
      <c r="D694" s="664"/>
      <c r="E694" s="664"/>
      <c r="F694" s="665"/>
      <c r="G694" s="664" t="s">
        <v>324</v>
      </c>
      <c r="H694" s="664"/>
      <c r="I694" s="664"/>
      <c r="J694" s="727"/>
      <c r="K694" s="664"/>
      <c r="L694" s="666"/>
    </row>
    <row r="695" spans="1:12" hidden="1" outlineLevel="1" x14ac:dyDescent="0.35">
      <c r="A695" s="483"/>
      <c r="B695" s="762" t="s">
        <v>1922</v>
      </c>
      <c r="C695" s="664" t="s">
        <v>511</v>
      </c>
      <c r="D695" s="664"/>
      <c r="E695" s="664"/>
      <c r="F695" s="665"/>
      <c r="G695" s="664" t="s">
        <v>456</v>
      </c>
      <c r="H695" s="664"/>
      <c r="I695" s="664"/>
      <c r="J695" s="727"/>
      <c r="K695" s="664"/>
      <c r="L695" s="666"/>
    </row>
    <row r="696" spans="1:12" hidden="1" outlineLevel="1" x14ac:dyDescent="0.35">
      <c r="A696" s="483"/>
      <c r="B696" s="762" t="s">
        <v>1922</v>
      </c>
      <c r="C696" s="664" t="s">
        <v>512</v>
      </c>
      <c r="D696" s="664"/>
      <c r="E696" s="664"/>
      <c r="F696" s="665"/>
      <c r="G696" s="664" t="s">
        <v>440</v>
      </c>
      <c r="H696" s="664"/>
      <c r="I696" s="664"/>
      <c r="J696" s="727"/>
      <c r="K696" s="664"/>
      <c r="L696" s="666"/>
    </row>
    <row r="697" spans="1:12" hidden="1" outlineLevel="1" x14ac:dyDescent="0.35">
      <c r="A697" s="483"/>
      <c r="B697" s="762" t="s">
        <v>1922</v>
      </c>
      <c r="C697" s="664" t="s">
        <v>513</v>
      </c>
      <c r="D697" s="664"/>
      <c r="E697" s="664"/>
      <c r="F697" s="665"/>
      <c r="G697" s="664" t="s">
        <v>304</v>
      </c>
      <c r="H697" s="664"/>
      <c r="I697" s="664"/>
      <c r="J697" s="727"/>
      <c r="K697" s="664"/>
      <c r="L697" s="666"/>
    </row>
    <row r="698" spans="1:12" hidden="1" outlineLevel="1" x14ac:dyDescent="0.35">
      <c r="A698" s="483"/>
      <c r="B698" s="762" t="s">
        <v>1922</v>
      </c>
      <c r="C698" s="664" t="s">
        <v>514</v>
      </c>
      <c r="D698" s="664"/>
      <c r="E698" s="664"/>
      <c r="F698" s="665"/>
      <c r="G698" s="664" t="s">
        <v>276</v>
      </c>
      <c r="H698" s="664"/>
      <c r="I698" s="664"/>
      <c r="J698" s="727"/>
      <c r="K698" s="664"/>
      <c r="L698" s="666"/>
    </row>
    <row r="699" spans="1:12" hidden="1" outlineLevel="1" x14ac:dyDescent="0.35">
      <c r="A699" s="483"/>
      <c r="B699" s="762" t="s">
        <v>1922</v>
      </c>
      <c r="C699" s="664" t="s">
        <v>515</v>
      </c>
      <c r="D699" s="664"/>
      <c r="E699" s="664"/>
      <c r="F699" s="665"/>
      <c r="G699" s="664" t="s">
        <v>459</v>
      </c>
      <c r="H699" s="664"/>
      <c r="I699" s="664"/>
      <c r="J699" s="727"/>
      <c r="K699" s="664"/>
      <c r="L699" s="666"/>
    </row>
    <row r="700" spans="1:12" hidden="1" outlineLevel="1" x14ac:dyDescent="0.35">
      <c r="A700" s="483"/>
      <c r="B700" s="762" t="s">
        <v>1922</v>
      </c>
      <c r="C700" s="664" t="s">
        <v>516</v>
      </c>
      <c r="D700" s="664"/>
      <c r="E700" s="664"/>
      <c r="F700" s="665"/>
      <c r="G700" s="664" t="s">
        <v>457</v>
      </c>
      <c r="H700" s="664"/>
      <c r="I700" s="664"/>
      <c r="J700" s="727"/>
      <c r="K700" s="664"/>
      <c r="L700" s="666"/>
    </row>
    <row r="701" spans="1:12" hidden="1" outlineLevel="1" x14ac:dyDescent="0.35">
      <c r="A701" s="483"/>
      <c r="B701" s="762" t="s">
        <v>1922</v>
      </c>
      <c r="C701" s="664" t="s">
        <v>517</v>
      </c>
      <c r="D701" s="664"/>
      <c r="E701" s="664"/>
      <c r="F701" s="665"/>
      <c r="G701" s="664" t="s">
        <v>458</v>
      </c>
      <c r="H701" s="664"/>
      <c r="I701" s="664"/>
      <c r="J701" s="727"/>
      <c r="K701" s="664"/>
      <c r="L701" s="666"/>
    </row>
    <row r="702" spans="1:12" hidden="1" outlineLevel="1" x14ac:dyDescent="0.35">
      <c r="A702" s="483"/>
      <c r="B702" s="762" t="s">
        <v>1922</v>
      </c>
      <c r="C702" s="664" t="s">
        <v>518</v>
      </c>
      <c r="D702" s="664"/>
      <c r="E702" s="664"/>
      <c r="F702" s="665"/>
      <c r="G702" s="664" t="s">
        <v>488</v>
      </c>
      <c r="H702" s="664"/>
      <c r="I702" s="664"/>
      <c r="J702" s="727"/>
      <c r="K702" s="664"/>
      <c r="L702" s="666"/>
    </row>
    <row r="703" spans="1:12" hidden="1" outlineLevel="1" x14ac:dyDescent="0.35">
      <c r="A703" s="483"/>
      <c r="B703" s="762" t="s">
        <v>1922</v>
      </c>
      <c r="C703" s="664" t="s">
        <v>519</v>
      </c>
      <c r="D703" s="664"/>
      <c r="E703" s="664"/>
      <c r="F703" s="665"/>
      <c r="G703" s="664" t="s">
        <v>462</v>
      </c>
      <c r="H703" s="664"/>
      <c r="I703" s="664"/>
      <c r="J703" s="727"/>
      <c r="K703" s="664"/>
      <c r="L703" s="666"/>
    </row>
    <row r="704" spans="1:12" hidden="1" outlineLevel="1" x14ac:dyDescent="0.35">
      <c r="A704" s="483"/>
      <c r="B704" s="762" t="s">
        <v>1922</v>
      </c>
      <c r="C704" s="664" t="s">
        <v>520</v>
      </c>
      <c r="D704" s="664"/>
      <c r="E704" s="664"/>
      <c r="F704" s="665"/>
      <c r="G704" s="664" t="s">
        <v>482</v>
      </c>
      <c r="H704" s="664"/>
      <c r="I704" s="664"/>
      <c r="J704" s="727"/>
      <c r="K704" s="664"/>
      <c r="L704" s="666"/>
    </row>
    <row r="705" spans="1:12" hidden="1" outlineLevel="1" x14ac:dyDescent="0.35">
      <c r="A705" s="483"/>
      <c r="B705" s="762" t="s">
        <v>1922</v>
      </c>
      <c r="C705" s="664" t="s">
        <v>521</v>
      </c>
      <c r="D705" s="664"/>
      <c r="E705" s="664"/>
      <c r="F705" s="665"/>
      <c r="G705" s="664" t="s">
        <v>487</v>
      </c>
      <c r="H705" s="664"/>
      <c r="I705" s="664"/>
      <c r="J705" s="727"/>
      <c r="K705" s="664"/>
      <c r="L705" s="666"/>
    </row>
    <row r="706" spans="1:12" hidden="1" outlineLevel="1" x14ac:dyDescent="0.35">
      <c r="A706" s="483"/>
      <c r="B706" s="762" t="s">
        <v>1922</v>
      </c>
      <c r="C706" s="664" t="s">
        <v>522</v>
      </c>
      <c r="D706" s="664"/>
      <c r="E706" s="664"/>
      <c r="F706" s="665"/>
      <c r="G706" s="664" t="s">
        <v>441</v>
      </c>
      <c r="H706" s="664"/>
      <c r="I706" s="664"/>
      <c r="J706" s="727"/>
      <c r="K706" s="664"/>
      <c r="L706" s="666"/>
    </row>
    <row r="707" spans="1:12" hidden="1" outlineLevel="1" x14ac:dyDescent="0.35">
      <c r="A707" s="483"/>
      <c r="B707" s="762" t="s">
        <v>1922</v>
      </c>
      <c r="C707" s="664" t="s">
        <v>523</v>
      </c>
      <c r="D707" s="664"/>
      <c r="E707" s="664"/>
      <c r="F707" s="665"/>
      <c r="G707" s="664" t="s">
        <v>342</v>
      </c>
      <c r="H707" s="664"/>
      <c r="I707" s="664"/>
      <c r="J707" s="727"/>
      <c r="K707" s="664"/>
      <c r="L707" s="666"/>
    </row>
    <row r="708" spans="1:12" hidden="1" outlineLevel="1" x14ac:dyDescent="0.35">
      <c r="A708" s="483"/>
      <c r="B708" s="762" t="s">
        <v>1922</v>
      </c>
      <c r="C708" s="664" t="s">
        <v>524</v>
      </c>
      <c r="D708" s="664"/>
      <c r="E708" s="664"/>
      <c r="F708" s="665"/>
      <c r="G708" s="664" t="s">
        <v>453</v>
      </c>
      <c r="H708" s="664"/>
      <c r="I708" s="664"/>
      <c r="J708" s="727"/>
      <c r="K708" s="664"/>
      <c r="L708" s="666"/>
    </row>
    <row r="709" spans="1:12" hidden="1" outlineLevel="1" x14ac:dyDescent="0.35">
      <c r="A709" s="483"/>
      <c r="B709" s="762" t="s">
        <v>1922</v>
      </c>
      <c r="C709" s="664" t="s">
        <v>525</v>
      </c>
      <c r="D709" s="664"/>
      <c r="E709" s="664"/>
      <c r="F709" s="665"/>
      <c r="G709" s="664" t="s">
        <v>281</v>
      </c>
      <c r="H709" s="664"/>
      <c r="I709" s="664"/>
      <c r="J709" s="727"/>
      <c r="K709" s="664"/>
      <c r="L709" s="666"/>
    </row>
    <row r="710" spans="1:12" hidden="1" outlineLevel="1" x14ac:dyDescent="0.35">
      <c r="A710" s="483"/>
      <c r="B710" s="762" t="s">
        <v>1922</v>
      </c>
      <c r="C710" s="664" t="s">
        <v>526</v>
      </c>
      <c r="D710" s="664"/>
      <c r="E710" s="664"/>
      <c r="F710" s="665"/>
      <c r="G710" s="664" t="s">
        <v>277</v>
      </c>
      <c r="H710" s="664"/>
      <c r="I710" s="664"/>
      <c r="J710" s="727"/>
      <c r="K710" s="664"/>
      <c r="L710" s="666"/>
    </row>
    <row r="711" spans="1:12" hidden="1" outlineLevel="1" x14ac:dyDescent="0.35">
      <c r="A711" s="483"/>
      <c r="B711" s="762" t="s">
        <v>1922</v>
      </c>
      <c r="C711" s="664" t="s">
        <v>527</v>
      </c>
      <c r="D711" s="664"/>
      <c r="E711" s="664"/>
      <c r="F711" s="665"/>
      <c r="G711" s="664" t="s">
        <v>282</v>
      </c>
      <c r="H711" s="664"/>
      <c r="I711" s="664"/>
      <c r="J711" s="727"/>
      <c r="K711" s="664"/>
      <c r="L711" s="666"/>
    </row>
    <row r="712" spans="1:12" hidden="1" outlineLevel="1" x14ac:dyDescent="0.35">
      <c r="A712" s="483"/>
      <c r="B712" s="762" t="s">
        <v>1922</v>
      </c>
      <c r="C712" s="664" t="s">
        <v>528</v>
      </c>
      <c r="D712" s="664"/>
      <c r="E712" s="664"/>
      <c r="F712" s="665"/>
      <c r="G712" s="664" t="s">
        <v>449</v>
      </c>
      <c r="H712" s="664"/>
      <c r="I712" s="664"/>
      <c r="J712" s="727"/>
      <c r="K712" s="664"/>
      <c r="L712" s="666"/>
    </row>
    <row r="713" spans="1:12" hidden="1" outlineLevel="1" x14ac:dyDescent="0.35">
      <c r="A713" s="483"/>
      <c r="B713" s="762" t="s">
        <v>1922</v>
      </c>
      <c r="C713" s="664" t="s">
        <v>529</v>
      </c>
      <c r="D713" s="664"/>
      <c r="E713" s="664"/>
      <c r="F713" s="665"/>
      <c r="G713" s="664" t="s">
        <v>349</v>
      </c>
      <c r="H713" s="664"/>
      <c r="I713" s="664"/>
      <c r="J713" s="727"/>
      <c r="K713" s="664"/>
      <c r="L713" s="666"/>
    </row>
    <row r="714" spans="1:12" hidden="1" outlineLevel="1" x14ac:dyDescent="0.35">
      <c r="A714" s="483"/>
      <c r="B714" s="762" t="s">
        <v>1922</v>
      </c>
      <c r="C714" s="664" t="s">
        <v>530</v>
      </c>
      <c r="D714" s="664"/>
      <c r="E714" s="664"/>
      <c r="F714" s="665"/>
      <c r="G714" s="664" t="s">
        <v>380</v>
      </c>
      <c r="H714" s="664"/>
      <c r="I714" s="664"/>
      <c r="J714" s="727"/>
      <c r="K714" s="664"/>
      <c r="L714" s="666"/>
    </row>
    <row r="715" spans="1:12" hidden="1" outlineLevel="1" x14ac:dyDescent="0.35">
      <c r="A715" s="483"/>
      <c r="B715" s="762" t="s">
        <v>1922</v>
      </c>
      <c r="C715" s="664" t="s">
        <v>531</v>
      </c>
      <c r="D715" s="664"/>
      <c r="E715" s="664"/>
      <c r="F715" s="665"/>
      <c r="G715" s="664" t="s">
        <v>304</v>
      </c>
      <c r="H715" s="664"/>
      <c r="I715" s="664"/>
      <c r="J715" s="727"/>
      <c r="K715" s="664"/>
      <c r="L715" s="666"/>
    </row>
    <row r="716" spans="1:12" hidden="1" outlineLevel="1" x14ac:dyDescent="0.35">
      <c r="A716" s="483"/>
      <c r="B716" s="762" t="s">
        <v>1922</v>
      </c>
      <c r="C716" s="664" t="s">
        <v>532</v>
      </c>
      <c r="D716" s="664"/>
      <c r="E716" s="664"/>
      <c r="F716" s="665"/>
      <c r="G716" s="664" t="s">
        <v>267</v>
      </c>
      <c r="H716" s="664"/>
      <c r="I716" s="664"/>
      <c r="J716" s="727"/>
      <c r="K716" s="664"/>
      <c r="L716" s="666"/>
    </row>
    <row r="717" spans="1:12" hidden="1" outlineLevel="1" x14ac:dyDescent="0.35">
      <c r="A717" s="483"/>
      <c r="B717" s="762" t="s">
        <v>1922</v>
      </c>
      <c r="C717" s="664" t="s">
        <v>533</v>
      </c>
      <c r="D717" s="664"/>
      <c r="E717" s="664"/>
      <c r="F717" s="665"/>
      <c r="G717" s="664" t="s">
        <v>280</v>
      </c>
      <c r="H717" s="664"/>
      <c r="I717" s="664"/>
      <c r="J717" s="727"/>
      <c r="K717" s="664"/>
      <c r="L717" s="666"/>
    </row>
    <row r="718" spans="1:12" hidden="1" outlineLevel="1" x14ac:dyDescent="0.35">
      <c r="A718" s="483"/>
      <c r="B718" s="762" t="s">
        <v>1922</v>
      </c>
      <c r="C718" s="664" t="s">
        <v>534</v>
      </c>
      <c r="D718" s="664"/>
      <c r="E718" s="664"/>
      <c r="F718" s="665"/>
      <c r="G718" s="664" t="s">
        <v>334</v>
      </c>
      <c r="H718" s="664"/>
      <c r="I718" s="664"/>
      <c r="J718" s="727"/>
      <c r="K718" s="664"/>
      <c r="L718" s="666"/>
    </row>
    <row r="719" spans="1:12" hidden="1" outlineLevel="1" x14ac:dyDescent="0.35">
      <c r="A719" s="483"/>
      <c r="B719" s="762" t="s">
        <v>1922</v>
      </c>
      <c r="C719" s="664" t="s">
        <v>535</v>
      </c>
      <c r="D719" s="664"/>
      <c r="E719" s="664"/>
      <c r="F719" s="665"/>
      <c r="G719" s="664" t="s">
        <v>397</v>
      </c>
      <c r="H719" s="664"/>
      <c r="I719" s="664"/>
      <c r="J719" s="727"/>
      <c r="K719" s="664"/>
      <c r="L719" s="666"/>
    </row>
    <row r="720" spans="1:12" hidden="1" outlineLevel="1" x14ac:dyDescent="0.35">
      <c r="A720" s="483"/>
      <c r="B720" s="762" t="s">
        <v>1922</v>
      </c>
      <c r="C720" s="664" t="s">
        <v>536</v>
      </c>
      <c r="D720" s="664"/>
      <c r="E720" s="664"/>
      <c r="F720" s="665"/>
      <c r="G720" s="664" t="s">
        <v>461</v>
      </c>
      <c r="H720" s="664"/>
      <c r="I720" s="664"/>
      <c r="J720" s="727"/>
      <c r="K720" s="664"/>
      <c r="L720" s="666"/>
    </row>
    <row r="721" spans="1:12" hidden="1" outlineLevel="1" x14ac:dyDescent="0.35">
      <c r="A721" s="483"/>
      <c r="B721" s="762" t="s">
        <v>1922</v>
      </c>
      <c r="C721" s="664" t="s">
        <v>537</v>
      </c>
      <c r="D721" s="664"/>
      <c r="E721" s="664"/>
      <c r="F721" s="665"/>
      <c r="G721" s="664" t="s">
        <v>448</v>
      </c>
      <c r="H721" s="664"/>
      <c r="I721" s="664"/>
      <c r="J721" s="727"/>
      <c r="K721" s="664"/>
      <c r="L721" s="666"/>
    </row>
    <row r="722" spans="1:12" hidden="1" outlineLevel="1" x14ac:dyDescent="0.35">
      <c r="A722" s="483"/>
      <c r="B722" s="762" t="s">
        <v>1922</v>
      </c>
      <c r="C722" s="664" t="s">
        <v>538</v>
      </c>
      <c r="D722" s="664"/>
      <c r="E722" s="664"/>
      <c r="F722" s="665"/>
      <c r="G722" s="664" t="s">
        <v>464</v>
      </c>
      <c r="H722" s="664"/>
      <c r="I722" s="664"/>
      <c r="J722" s="727"/>
      <c r="K722" s="664"/>
      <c r="L722" s="666"/>
    </row>
    <row r="723" spans="1:12" hidden="1" outlineLevel="1" x14ac:dyDescent="0.35">
      <c r="A723" s="483"/>
      <c r="B723" s="762" t="s">
        <v>1922</v>
      </c>
      <c r="C723" s="664" t="s">
        <v>539</v>
      </c>
      <c r="D723" s="664"/>
      <c r="E723" s="664"/>
      <c r="F723" s="665"/>
      <c r="G723" s="664" t="s">
        <v>331</v>
      </c>
      <c r="H723" s="664"/>
      <c r="I723" s="664"/>
      <c r="J723" s="727"/>
      <c r="K723" s="664"/>
      <c r="L723" s="666"/>
    </row>
    <row r="724" spans="1:12" hidden="1" outlineLevel="1" x14ac:dyDescent="0.35">
      <c r="A724" s="483"/>
      <c r="B724" s="762" t="s">
        <v>1922</v>
      </c>
      <c r="C724" s="664" t="s">
        <v>540</v>
      </c>
      <c r="D724" s="664"/>
      <c r="E724" s="664"/>
      <c r="F724" s="665"/>
      <c r="G724" s="664" t="s">
        <v>313</v>
      </c>
      <c r="H724" s="664"/>
      <c r="I724" s="664"/>
      <c r="J724" s="727"/>
      <c r="K724" s="664"/>
      <c r="L724" s="666"/>
    </row>
    <row r="725" spans="1:12" hidden="1" outlineLevel="1" x14ac:dyDescent="0.35">
      <c r="A725" s="483"/>
      <c r="B725" s="762" t="s">
        <v>1922</v>
      </c>
      <c r="C725" s="664" t="s">
        <v>541</v>
      </c>
      <c r="D725" s="664"/>
      <c r="E725" s="664"/>
      <c r="F725" s="665"/>
      <c r="G725" s="664" t="s">
        <v>314</v>
      </c>
      <c r="H725" s="664"/>
      <c r="I725" s="664"/>
      <c r="J725" s="727"/>
      <c r="K725" s="664"/>
      <c r="L725" s="666"/>
    </row>
    <row r="726" spans="1:12" hidden="1" outlineLevel="1" x14ac:dyDescent="0.35">
      <c r="A726" s="483"/>
      <c r="B726" s="762" t="s">
        <v>1922</v>
      </c>
      <c r="C726" s="664" t="s">
        <v>542</v>
      </c>
      <c r="D726" s="664"/>
      <c r="E726" s="664"/>
      <c r="F726" s="665"/>
      <c r="G726" s="664" t="s">
        <v>312</v>
      </c>
      <c r="H726" s="664"/>
      <c r="I726" s="664"/>
      <c r="J726" s="727"/>
      <c r="K726" s="664"/>
      <c r="L726" s="666"/>
    </row>
    <row r="727" spans="1:12" hidden="1" outlineLevel="1" x14ac:dyDescent="0.35">
      <c r="A727" s="483"/>
      <c r="B727" s="762" t="s">
        <v>1922</v>
      </c>
      <c r="C727" s="664" t="s">
        <v>543</v>
      </c>
      <c r="D727" s="664"/>
      <c r="E727" s="664"/>
      <c r="F727" s="665"/>
      <c r="G727" s="664" t="s">
        <v>428</v>
      </c>
      <c r="H727" s="664"/>
      <c r="I727" s="664"/>
      <c r="J727" s="727"/>
      <c r="K727" s="664"/>
      <c r="L727" s="666"/>
    </row>
    <row r="728" spans="1:12" hidden="1" outlineLevel="1" x14ac:dyDescent="0.35">
      <c r="A728" s="483"/>
      <c r="B728" s="762" t="s">
        <v>1922</v>
      </c>
      <c r="C728" s="664" t="s">
        <v>544</v>
      </c>
      <c r="D728" s="664"/>
      <c r="E728" s="664"/>
      <c r="F728" s="665"/>
      <c r="G728" s="664" t="s">
        <v>447</v>
      </c>
      <c r="H728" s="664"/>
      <c r="I728" s="664"/>
      <c r="J728" s="727"/>
      <c r="K728" s="664"/>
      <c r="L728" s="666"/>
    </row>
    <row r="729" spans="1:12" hidden="1" outlineLevel="1" x14ac:dyDescent="0.35">
      <c r="A729" s="483"/>
      <c r="B729" s="762" t="s">
        <v>1922</v>
      </c>
      <c r="C729" s="664" t="s">
        <v>545</v>
      </c>
      <c r="D729" s="664"/>
      <c r="E729" s="664"/>
      <c r="F729" s="665"/>
      <c r="G729" s="664" t="s">
        <v>345</v>
      </c>
      <c r="H729" s="664"/>
      <c r="I729" s="664"/>
      <c r="J729" s="727"/>
      <c r="K729" s="664"/>
      <c r="L729" s="666"/>
    </row>
    <row r="730" spans="1:12" hidden="1" outlineLevel="1" x14ac:dyDescent="0.35">
      <c r="A730" s="483"/>
      <c r="B730" s="762" t="s">
        <v>1922</v>
      </c>
      <c r="C730" s="664" t="s">
        <v>546</v>
      </c>
      <c r="D730" s="664"/>
      <c r="E730" s="664"/>
      <c r="F730" s="665"/>
      <c r="G730" s="664" t="s">
        <v>263</v>
      </c>
      <c r="H730" s="664"/>
      <c r="I730" s="664"/>
      <c r="J730" s="727"/>
      <c r="K730" s="664"/>
      <c r="L730" s="666"/>
    </row>
    <row r="731" spans="1:12" hidden="1" outlineLevel="1" x14ac:dyDescent="0.35">
      <c r="A731" s="483"/>
      <c r="B731" s="762" t="s">
        <v>1922</v>
      </c>
      <c r="C731" s="664" t="s">
        <v>547</v>
      </c>
      <c r="D731" s="664"/>
      <c r="E731" s="664"/>
      <c r="F731" s="665"/>
      <c r="G731" s="664" t="s">
        <v>283</v>
      </c>
      <c r="H731" s="664"/>
      <c r="I731" s="664"/>
      <c r="J731" s="727"/>
      <c r="K731" s="664"/>
      <c r="L731" s="666"/>
    </row>
    <row r="732" spans="1:12" hidden="1" outlineLevel="1" x14ac:dyDescent="0.35">
      <c r="A732" s="483"/>
      <c r="B732" s="762" t="s">
        <v>1922</v>
      </c>
      <c r="C732" s="664" t="s">
        <v>548</v>
      </c>
      <c r="D732" s="664"/>
      <c r="E732" s="664"/>
      <c r="F732" s="665"/>
      <c r="G732" s="664" t="s">
        <v>432</v>
      </c>
      <c r="H732" s="664"/>
      <c r="I732" s="664"/>
      <c r="J732" s="727"/>
      <c r="K732" s="664"/>
      <c r="L732" s="666"/>
    </row>
    <row r="733" spans="1:12" hidden="1" outlineLevel="1" x14ac:dyDescent="0.35">
      <c r="A733" s="483"/>
      <c r="B733" s="762" t="s">
        <v>1922</v>
      </c>
      <c r="C733" s="664" t="s">
        <v>549</v>
      </c>
      <c r="D733" s="664"/>
      <c r="E733" s="664"/>
      <c r="F733" s="665"/>
      <c r="G733" s="664" t="s">
        <v>433</v>
      </c>
      <c r="H733" s="664"/>
      <c r="I733" s="664"/>
      <c r="J733" s="727"/>
      <c r="K733" s="664"/>
      <c r="L733" s="666"/>
    </row>
    <row r="734" spans="1:12" hidden="1" outlineLevel="1" x14ac:dyDescent="0.35">
      <c r="A734" s="483"/>
      <c r="B734" s="762" t="s">
        <v>1922</v>
      </c>
      <c r="C734" s="664" t="s">
        <v>550</v>
      </c>
      <c r="D734" s="664"/>
      <c r="E734" s="664"/>
      <c r="F734" s="665"/>
      <c r="G734" s="664" t="s">
        <v>359</v>
      </c>
      <c r="H734" s="664"/>
      <c r="I734" s="664"/>
      <c r="J734" s="727"/>
      <c r="K734" s="664"/>
      <c r="L734" s="666"/>
    </row>
    <row r="735" spans="1:12" hidden="1" outlineLevel="1" x14ac:dyDescent="0.35">
      <c r="A735" s="483"/>
      <c r="B735" s="762" t="s">
        <v>1922</v>
      </c>
      <c r="C735" s="664" t="s">
        <v>551</v>
      </c>
      <c r="D735" s="664"/>
      <c r="E735" s="664"/>
      <c r="F735" s="665"/>
      <c r="G735" s="664" t="s">
        <v>435</v>
      </c>
      <c r="H735" s="664"/>
      <c r="I735" s="664"/>
      <c r="J735" s="727"/>
      <c r="K735" s="664"/>
      <c r="L735" s="666"/>
    </row>
    <row r="736" spans="1:12" hidden="1" outlineLevel="1" x14ac:dyDescent="0.35">
      <c r="A736" s="483"/>
      <c r="B736" s="762" t="s">
        <v>1922</v>
      </c>
      <c r="C736" s="664" t="s">
        <v>552</v>
      </c>
      <c r="D736" s="664"/>
      <c r="E736" s="664"/>
      <c r="F736" s="665"/>
      <c r="G736" s="664" t="s">
        <v>450</v>
      </c>
      <c r="H736" s="664"/>
      <c r="I736" s="664"/>
      <c r="J736" s="727"/>
      <c r="K736" s="664"/>
      <c r="L736" s="666"/>
    </row>
    <row r="737" spans="1:12" hidden="1" outlineLevel="1" x14ac:dyDescent="0.35">
      <c r="A737" s="483"/>
      <c r="B737" s="762" t="s">
        <v>1922</v>
      </c>
      <c r="C737" s="664" t="s">
        <v>553</v>
      </c>
      <c r="D737" s="664"/>
      <c r="E737" s="664"/>
      <c r="F737" s="665"/>
      <c r="G737" s="664" t="s">
        <v>391</v>
      </c>
      <c r="H737" s="664"/>
      <c r="I737" s="664"/>
      <c r="J737" s="727"/>
      <c r="K737" s="664"/>
      <c r="L737" s="666"/>
    </row>
    <row r="738" spans="1:12" hidden="1" outlineLevel="1" x14ac:dyDescent="0.35">
      <c r="A738" s="483"/>
      <c r="B738" s="762" t="s">
        <v>1922</v>
      </c>
      <c r="C738" s="664" t="s">
        <v>554</v>
      </c>
      <c r="D738" s="664"/>
      <c r="E738" s="664"/>
      <c r="F738" s="665"/>
      <c r="G738" s="664" t="s">
        <v>362</v>
      </c>
      <c r="H738" s="664"/>
      <c r="I738" s="664"/>
      <c r="J738" s="727"/>
      <c r="K738" s="664"/>
      <c r="L738" s="666"/>
    </row>
    <row r="739" spans="1:12" hidden="1" outlineLevel="1" x14ac:dyDescent="0.35">
      <c r="A739" s="483"/>
      <c r="B739" s="762" t="s">
        <v>1922</v>
      </c>
      <c r="C739" s="664" t="s">
        <v>555</v>
      </c>
      <c r="D739" s="664"/>
      <c r="E739" s="664"/>
      <c r="F739" s="665"/>
      <c r="G739" s="664" t="s">
        <v>301</v>
      </c>
      <c r="H739" s="664"/>
      <c r="I739" s="664"/>
      <c r="J739" s="727"/>
      <c r="K739" s="664"/>
      <c r="L739" s="666"/>
    </row>
    <row r="740" spans="1:12" hidden="1" outlineLevel="1" x14ac:dyDescent="0.35">
      <c r="A740" s="483"/>
      <c r="B740" s="762" t="s">
        <v>1922</v>
      </c>
      <c r="C740" s="664" t="s">
        <v>556</v>
      </c>
      <c r="D740" s="664"/>
      <c r="E740" s="664"/>
      <c r="F740" s="665"/>
      <c r="G740" s="664" t="s">
        <v>419</v>
      </c>
      <c r="H740" s="664"/>
      <c r="I740" s="664"/>
      <c r="J740" s="727"/>
      <c r="K740" s="664"/>
      <c r="L740" s="666"/>
    </row>
    <row r="741" spans="1:12" hidden="1" outlineLevel="1" x14ac:dyDescent="0.35">
      <c r="A741" s="483"/>
      <c r="B741" s="762" t="s">
        <v>1922</v>
      </c>
      <c r="C741" s="664" t="s">
        <v>557</v>
      </c>
      <c r="D741" s="664"/>
      <c r="E741" s="664"/>
      <c r="F741" s="665"/>
      <c r="G741" s="664" t="s">
        <v>452</v>
      </c>
      <c r="H741" s="664"/>
      <c r="I741" s="664"/>
      <c r="J741" s="727"/>
      <c r="K741" s="664"/>
      <c r="L741" s="666"/>
    </row>
    <row r="742" spans="1:12" hidden="1" outlineLevel="1" x14ac:dyDescent="0.35">
      <c r="A742" s="483"/>
      <c r="B742" s="762" t="s">
        <v>1922</v>
      </c>
      <c r="C742" s="664" t="s">
        <v>558</v>
      </c>
      <c r="D742" s="664"/>
      <c r="E742" s="664"/>
      <c r="F742" s="665"/>
      <c r="G742" s="664" t="s">
        <v>250</v>
      </c>
      <c r="H742" s="664"/>
      <c r="I742" s="664"/>
      <c r="J742" s="727"/>
      <c r="K742" s="664"/>
      <c r="L742" s="666"/>
    </row>
    <row r="743" spans="1:12" hidden="1" outlineLevel="1" x14ac:dyDescent="0.35">
      <c r="A743" s="483"/>
      <c r="B743" s="762" t="s">
        <v>1922</v>
      </c>
      <c r="C743" s="664" t="s">
        <v>559</v>
      </c>
      <c r="D743" s="664"/>
      <c r="E743" s="664"/>
      <c r="F743" s="665"/>
      <c r="G743" s="664" t="s">
        <v>424</v>
      </c>
      <c r="H743" s="664"/>
      <c r="I743" s="664"/>
      <c r="J743" s="727"/>
      <c r="K743" s="664"/>
      <c r="L743" s="666"/>
    </row>
    <row r="744" spans="1:12" hidden="1" outlineLevel="1" x14ac:dyDescent="0.35">
      <c r="A744" s="483"/>
      <c r="B744" s="762" t="s">
        <v>1922</v>
      </c>
      <c r="C744" s="664" t="s">
        <v>560</v>
      </c>
      <c r="D744" s="664"/>
      <c r="E744" s="664"/>
      <c r="F744" s="665"/>
      <c r="G744" s="664" t="s">
        <v>256</v>
      </c>
      <c r="H744" s="664"/>
      <c r="I744" s="664"/>
      <c r="J744" s="727"/>
      <c r="K744" s="664"/>
      <c r="L744" s="666"/>
    </row>
    <row r="745" spans="1:12" hidden="1" outlineLevel="1" x14ac:dyDescent="0.35">
      <c r="A745" s="483"/>
      <c r="B745" s="762" t="s">
        <v>1922</v>
      </c>
      <c r="C745" s="664" t="s">
        <v>561</v>
      </c>
      <c r="D745" s="664"/>
      <c r="E745" s="664"/>
      <c r="F745" s="665"/>
      <c r="G745" s="664" t="s">
        <v>430</v>
      </c>
      <c r="H745" s="664"/>
      <c r="I745" s="664"/>
      <c r="J745" s="727"/>
      <c r="K745" s="664"/>
      <c r="L745" s="666"/>
    </row>
    <row r="746" spans="1:12" hidden="1" outlineLevel="1" x14ac:dyDescent="0.35">
      <c r="A746" s="483"/>
      <c r="B746" s="762" t="s">
        <v>1922</v>
      </c>
      <c r="C746" s="664" t="s">
        <v>562</v>
      </c>
      <c r="D746" s="664"/>
      <c r="E746" s="664"/>
      <c r="F746" s="665"/>
      <c r="G746" s="664" t="s">
        <v>455</v>
      </c>
      <c r="H746" s="664"/>
      <c r="I746" s="664"/>
      <c r="J746" s="727"/>
      <c r="K746" s="664"/>
      <c r="L746" s="666"/>
    </row>
    <row r="747" spans="1:12" hidden="1" outlineLevel="1" x14ac:dyDescent="0.35">
      <c r="A747" s="483"/>
      <c r="B747" s="762" t="s">
        <v>1922</v>
      </c>
      <c r="C747" s="664" t="s">
        <v>563</v>
      </c>
      <c r="D747" s="664"/>
      <c r="E747" s="664"/>
      <c r="F747" s="665"/>
      <c r="G747" s="664" t="s">
        <v>368</v>
      </c>
      <c r="H747" s="664"/>
      <c r="I747" s="664"/>
      <c r="J747" s="727"/>
      <c r="K747" s="664"/>
      <c r="L747" s="666"/>
    </row>
    <row r="748" spans="1:12" hidden="1" outlineLevel="1" x14ac:dyDescent="0.35">
      <c r="A748" s="483"/>
      <c r="B748" s="762" t="s">
        <v>1922</v>
      </c>
      <c r="C748" s="664" t="s">
        <v>564</v>
      </c>
      <c r="D748" s="664"/>
      <c r="E748" s="664"/>
      <c r="F748" s="665"/>
      <c r="G748" s="664" t="s">
        <v>366</v>
      </c>
      <c r="H748" s="664"/>
      <c r="I748" s="664"/>
      <c r="J748" s="727"/>
      <c r="K748" s="664"/>
      <c r="L748" s="666"/>
    </row>
    <row r="749" spans="1:12" hidden="1" outlineLevel="1" x14ac:dyDescent="0.35">
      <c r="A749" s="483"/>
      <c r="B749" s="762" t="s">
        <v>1922</v>
      </c>
      <c r="C749" s="664" t="s">
        <v>565</v>
      </c>
      <c r="D749" s="664"/>
      <c r="E749" s="664"/>
      <c r="F749" s="665"/>
      <c r="G749" s="664" t="s">
        <v>231</v>
      </c>
      <c r="H749" s="664"/>
      <c r="I749" s="664"/>
      <c r="J749" s="727"/>
      <c r="K749" s="664"/>
      <c r="L749" s="666"/>
    </row>
    <row r="750" spans="1:12" hidden="1" outlineLevel="1" x14ac:dyDescent="0.35">
      <c r="A750" s="483"/>
      <c r="B750" s="762" t="s">
        <v>1922</v>
      </c>
      <c r="C750" s="664" t="s">
        <v>566</v>
      </c>
      <c r="D750" s="664"/>
      <c r="E750" s="664"/>
      <c r="F750" s="665"/>
      <c r="G750" s="664" t="s">
        <v>444</v>
      </c>
      <c r="H750" s="664"/>
      <c r="I750" s="664"/>
      <c r="J750" s="727"/>
      <c r="K750" s="664"/>
      <c r="L750" s="666"/>
    </row>
    <row r="751" spans="1:12" hidden="1" outlineLevel="1" x14ac:dyDescent="0.35">
      <c r="A751" s="483"/>
      <c r="B751" s="762" t="s">
        <v>1922</v>
      </c>
      <c r="C751" s="664" t="s">
        <v>567</v>
      </c>
      <c r="D751" s="664"/>
      <c r="E751" s="664"/>
      <c r="F751" s="665"/>
      <c r="G751" s="664" t="s">
        <v>270</v>
      </c>
      <c r="H751" s="664"/>
      <c r="I751" s="664"/>
      <c r="J751" s="727"/>
      <c r="K751" s="664"/>
      <c r="L751" s="666"/>
    </row>
    <row r="752" spans="1:12" hidden="1" outlineLevel="1" x14ac:dyDescent="0.35">
      <c r="A752" s="483"/>
      <c r="B752" s="762" t="s">
        <v>1922</v>
      </c>
      <c r="C752" s="664" t="s">
        <v>568</v>
      </c>
      <c r="D752" s="664"/>
      <c r="E752" s="664"/>
      <c r="F752" s="665"/>
      <c r="G752" s="664" t="s">
        <v>440</v>
      </c>
      <c r="H752" s="664"/>
      <c r="I752" s="664"/>
      <c r="J752" s="727"/>
      <c r="K752" s="664"/>
      <c r="L752" s="666"/>
    </row>
    <row r="753" spans="1:19" hidden="1" outlineLevel="1" x14ac:dyDescent="0.35">
      <c r="A753" s="483"/>
      <c r="B753" s="762" t="s">
        <v>1922</v>
      </c>
      <c r="C753" s="664" t="s">
        <v>569</v>
      </c>
      <c r="D753" s="664"/>
      <c r="E753" s="664"/>
      <c r="F753" s="665"/>
      <c r="G753" s="664" t="s">
        <v>269</v>
      </c>
      <c r="H753" s="664"/>
      <c r="I753" s="664"/>
      <c r="J753" s="727"/>
      <c r="K753" s="664"/>
      <c r="L753" s="666"/>
    </row>
    <row r="754" spans="1:19" hidden="1" outlineLevel="1" x14ac:dyDescent="0.35">
      <c r="A754" s="483"/>
      <c r="B754" s="762" t="s">
        <v>1922</v>
      </c>
      <c r="C754" s="664" t="s">
        <v>570</v>
      </c>
      <c r="D754" s="664"/>
      <c r="E754" s="664"/>
      <c r="F754" s="665"/>
      <c r="G754" s="664" t="s">
        <v>571</v>
      </c>
      <c r="H754" s="664"/>
      <c r="I754" s="664"/>
      <c r="J754" s="727"/>
      <c r="K754" s="664"/>
      <c r="L754" s="666"/>
    </row>
    <row r="755" spans="1:19" hidden="1" outlineLevel="1" x14ac:dyDescent="0.35">
      <c r="A755" s="483"/>
      <c r="B755" s="762" t="s">
        <v>1922</v>
      </c>
      <c r="C755" s="664" t="s">
        <v>572</v>
      </c>
      <c r="D755" s="664"/>
      <c r="E755" s="664"/>
      <c r="F755" s="665"/>
      <c r="G755" s="664" t="s">
        <v>315</v>
      </c>
      <c r="H755" s="664"/>
      <c r="I755" s="664"/>
      <c r="J755" s="727"/>
      <c r="K755" s="664"/>
      <c r="L755" s="666"/>
    </row>
    <row r="756" spans="1:19" hidden="1" outlineLevel="1" x14ac:dyDescent="0.35">
      <c r="A756" s="483"/>
      <c r="B756" s="762" t="s">
        <v>1922</v>
      </c>
      <c r="C756" s="664" t="s">
        <v>573</v>
      </c>
      <c r="D756" s="664"/>
      <c r="E756" s="664"/>
      <c r="F756" s="665"/>
      <c r="G756" s="664" t="s">
        <v>364</v>
      </c>
      <c r="H756" s="664"/>
      <c r="I756" s="664"/>
      <c r="J756" s="727"/>
      <c r="K756" s="664"/>
      <c r="L756" s="666"/>
    </row>
    <row r="757" spans="1:19" hidden="1" outlineLevel="1" x14ac:dyDescent="0.35">
      <c r="A757" s="483"/>
      <c r="B757" s="762" t="s">
        <v>1922</v>
      </c>
      <c r="C757" s="664" t="s">
        <v>574</v>
      </c>
      <c r="D757" s="664"/>
      <c r="E757" s="664"/>
      <c r="F757" s="665"/>
      <c r="G757" s="664" t="s">
        <v>467</v>
      </c>
      <c r="H757" s="664"/>
      <c r="I757" s="664"/>
      <c r="J757" s="727"/>
      <c r="K757" s="664"/>
      <c r="L757" s="666"/>
    </row>
    <row r="758" spans="1:19" hidden="1" outlineLevel="1" x14ac:dyDescent="0.35">
      <c r="A758" s="483"/>
      <c r="B758" s="762" t="s">
        <v>1922</v>
      </c>
      <c r="C758" s="664" t="s">
        <v>575</v>
      </c>
      <c r="D758" s="664"/>
      <c r="E758" s="664"/>
      <c r="F758" s="665"/>
      <c r="G758" s="664" t="s">
        <v>440</v>
      </c>
      <c r="H758" s="664"/>
      <c r="I758" s="664"/>
      <c r="J758" s="727"/>
      <c r="K758" s="664"/>
      <c r="L758" s="666"/>
    </row>
    <row r="759" spans="1:19" hidden="1" outlineLevel="1" x14ac:dyDescent="0.35">
      <c r="A759" s="483"/>
      <c r="B759" s="762" t="s">
        <v>1922</v>
      </c>
      <c r="C759" s="664" t="s">
        <v>576</v>
      </c>
      <c r="D759" s="664"/>
      <c r="E759" s="664"/>
      <c r="F759" s="665"/>
      <c r="G759" s="664" t="s">
        <v>454</v>
      </c>
      <c r="H759" s="664"/>
      <c r="I759" s="664"/>
      <c r="J759" s="727"/>
      <c r="K759" s="664"/>
      <c r="L759" s="666"/>
    </row>
    <row r="760" spans="1:19" hidden="1" outlineLevel="1" x14ac:dyDescent="0.35">
      <c r="A760" s="483"/>
      <c r="B760" s="762" t="s">
        <v>1922</v>
      </c>
      <c r="C760" s="664" t="s">
        <v>577</v>
      </c>
      <c r="D760" s="664"/>
      <c r="E760" s="664"/>
      <c r="F760" s="665"/>
      <c r="G760" s="664" t="s">
        <v>477</v>
      </c>
      <c r="H760" s="664"/>
      <c r="I760" s="664"/>
      <c r="J760" s="727"/>
      <c r="K760" s="664"/>
      <c r="L760" s="666"/>
    </row>
    <row r="761" spans="1:19" hidden="1" outlineLevel="1" x14ac:dyDescent="0.35">
      <c r="A761" s="483"/>
      <c r="B761" s="762" t="s">
        <v>1922</v>
      </c>
      <c r="C761" s="664" t="s">
        <v>522</v>
      </c>
      <c r="D761" s="664"/>
      <c r="E761" s="664"/>
      <c r="F761" s="665"/>
      <c r="G761" s="664" t="s">
        <v>441</v>
      </c>
      <c r="H761" s="664"/>
      <c r="I761" s="664"/>
      <c r="J761" s="727"/>
      <c r="K761" s="664"/>
      <c r="L761" s="666"/>
    </row>
    <row r="762" spans="1:19" hidden="1" outlineLevel="1" x14ac:dyDescent="0.35">
      <c r="A762" s="483"/>
      <c r="B762" s="762" t="s">
        <v>1922</v>
      </c>
      <c r="C762" s="664" t="s">
        <v>2222</v>
      </c>
      <c r="D762" s="664"/>
      <c r="E762" s="664"/>
      <c r="F762" s="665"/>
      <c r="G762" s="664" t="s">
        <v>379</v>
      </c>
      <c r="H762" s="664"/>
      <c r="I762" s="664"/>
      <c r="J762" s="727"/>
      <c r="K762" s="664"/>
      <c r="L762" s="666"/>
    </row>
    <row r="763" spans="1:19" ht="15" hidden="1" outlineLevel="1" thickBot="1" x14ac:dyDescent="0.4">
      <c r="A763" s="483"/>
      <c r="B763" s="761"/>
      <c r="C763" s="670"/>
      <c r="D763" s="670"/>
      <c r="E763" s="670"/>
      <c r="F763" s="671"/>
      <c r="G763" s="670"/>
      <c r="H763" s="670"/>
      <c r="I763" s="670"/>
      <c r="J763" s="728"/>
      <c r="K763" s="670"/>
      <c r="L763" s="711"/>
    </row>
    <row r="764" spans="1:19" ht="15.5" collapsed="1" thickTop="1" thickBot="1" x14ac:dyDescent="0.4">
      <c r="B764" s="2"/>
    </row>
    <row r="765" spans="1:19" ht="23" thickBot="1" x14ac:dyDescent="0.4">
      <c r="B765" s="524"/>
      <c r="C765" s="525" t="s">
        <v>578</v>
      </c>
      <c r="D765" s="525"/>
      <c r="E765" s="525"/>
      <c r="F765" s="525"/>
      <c r="G765" s="525"/>
      <c r="H765" s="525"/>
      <c r="I765" s="525"/>
      <c r="J765" s="525"/>
      <c r="K765" s="527"/>
      <c r="L765" s="526"/>
    </row>
    <row r="766" spans="1:19" s="2" customFormat="1" ht="15.5" hidden="1" outlineLevel="1" thickTop="1" thickBot="1" x14ac:dyDescent="0.4">
      <c r="B766" s="721"/>
      <c r="C766" s="719" t="s">
        <v>79</v>
      </c>
      <c r="D766" s="719"/>
      <c r="E766" s="719"/>
      <c r="F766" s="719"/>
      <c r="G766" s="719"/>
      <c r="H766" s="719"/>
      <c r="I766" s="719"/>
      <c r="J766" s="719"/>
      <c r="K766" s="719"/>
      <c r="L766" s="720"/>
      <c r="M766" s="385"/>
      <c r="S766" s="783"/>
    </row>
    <row r="767" spans="1:19" ht="15" hidden="1" outlineLevel="1" thickTop="1" x14ac:dyDescent="0.35">
      <c r="A767" s="483"/>
      <c r="B767" s="759" t="s">
        <v>1923</v>
      </c>
      <c r="C767" s="757" t="s">
        <v>231</v>
      </c>
      <c r="D767" s="664"/>
      <c r="E767" s="664"/>
      <c r="F767" s="665"/>
      <c r="G767" s="664"/>
      <c r="H767" s="664"/>
      <c r="I767" s="664"/>
      <c r="J767" s="727"/>
      <c r="K767" s="664"/>
      <c r="L767" s="666"/>
    </row>
    <row r="768" spans="1:19" hidden="1" outlineLevel="1" x14ac:dyDescent="0.35">
      <c r="A768" s="483"/>
      <c r="B768" s="762" t="s">
        <v>1923</v>
      </c>
      <c r="C768" s="664" t="s">
        <v>232</v>
      </c>
      <c r="D768" s="664"/>
      <c r="E768" s="664"/>
      <c r="F768" s="665"/>
      <c r="G768" s="664"/>
      <c r="H768" s="664"/>
      <c r="I768" s="664"/>
      <c r="J768" s="727"/>
      <c r="K768" s="664"/>
      <c r="L768" s="666"/>
    </row>
    <row r="769" spans="1:12" hidden="1" outlineLevel="1" x14ac:dyDescent="0.35">
      <c r="A769" s="483"/>
      <c r="B769" s="762" t="s">
        <v>1923</v>
      </c>
      <c r="C769" s="664" t="s">
        <v>233</v>
      </c>
      <c r="D769" s="664"/>
      <c r="E769" s="664"/>
      <c r="F769" s="665"/>
      <c r="G769" s="664"/>
      <c r="H769" s="664"/>
      <c r="I769" s="664"/>
      <c r="J769" s="727"/>
      <c r="K769" s="664"/>
      <c r="L769" s="666"/>
    </row>
    <row r="770" spans="1:12" hidden="1" outlineLevel="1" x14ac:dyDescent="0.35">
      <c r="A770" s="483"/>
      <c r="B770" s="762" t="s">
        <v>1923</v>
      </c>
      <c r="C770" s="664" t="s">
        <v>234</v>
      </c>
      <c r="D770" s="664"/>
      <c r="E770" s="664"/>
      <c r="F770" s="665"/>
      <c r="G770" s="664"/>
      <c r="H770" s="664"/>
      <c r="I770" s="664"/>
      <c r="J770" s="727"/>
      <c r="K770" s="664"/>
      <c r="L770" s="666"/>
    </row>
    <row r="771" spans="1:12" hidden="1" outlineLevel="1" x14ac:dyDescent="0.35">
      <c r="A771" s="483"/>
      <c r="B771" s="762" t="s">
        <v>1923</v>
      </c>
      <c r="C771" s="664" t="s">
        <v>235</v>
      </c>
      <c r="D771" s="664"/>
      <c r="E771" s="664"/>
      <c r="F771" s="665"/>
      <c r="G771" s="664"/>
      <c r="H771" s="664"/>
      <c r="I771" s="664"/>
      <c r="J771" s="727"/>
      <c r="K771" s="664"/>
      <c r="L771" s="666"/>
    </row>
    <row r="772" spans="1:12" hidden="1" outlineLevel="1" x14ac:dyDescent="0.35">
      <c r="A772" s="483"/>
      <c r="B772" s="762" t="s">
        <v>1923</v>
      </c>
      <c r="C772" s="664" t="s">
        <v>236</v>
      </c>
      <c r="D772" s="664"/>
      <c r="E772" s="664"/>
      <c r="F772" s="665"/>
      <c r="G772" s="664"/>
      <c r="H772" s="664"/>
      <c r="I772" s="664"/>
      <c r="J772" s="727"/>
      <c r="K772" s="664"/>
      <c r="L772" s="666"/>
    </row>
    <row r="773" spans="1:12" hidden="1" outlineLevel="1" x14ac:dyDescent="0.35">
      <c r="A773" s="483"/>
      <c r="B773" s="762" t="s">
        <v>1923</v>
      </c>
      <c r="C773" s="664" t="s">
        <v>237</v>
      </c>
      <c r="D773" s="664"/>
      <c r="E773" s="664"/>
      <c r="F773" s="665"/>
      <c r="G773" s="664"/>
      <c r="H773" s="664"/>
      <c r="I773" s="664"/>
      <c r="J773" s="727"/>
      <c r="K773" s="664"/>
      <c r="L773" s="666"/>
    </row>
    <row r="774" spans="1:12" hidden="1" outlineLevel="1" x14ac:dyDescent="0.35">
      <c r="A774" s="483"/>
      <c r="B774" s="762" t="s">
        <v>1923</v>
      </c>
      <c r="C774" s="664" t="s">
        <v>238</v>
      </c>
      <c r="D774" s="664"/>
      <c r="E774" s="664"/>
      <c r="F774" s="665"/>
      <c r="G774" s="664"/>
      <c r="H774" s="664"/>
      <c r="I774" s="664"/>
      <c r="J774" s="727"/>
      <c r="K774" s="664"/>
      <c r="L774" s="666"/>
    </row>
    <row r="775" spans="1:12" hidden="1" outlineLevel="1" x14ac:dyDescent="0.35">
      <c r="A775" s="483"/>
      <c r="B775" s="762" t="s">
        <v>1923</v>
      </c>
      <c r="C775" s="664" t="s">
        <v>239</v>
      </c>
      <c r="D775" s="664"/>
      <c r="E775" s="664"/>
      <c r="F775" s="665"/>
      <c r="G775" s="664"/>
      <c r="H775" s="664"/>
      <c r="I775" s="664"/>
      <c r="J775" s="727"/>
      <c r="K775" s="664"/>
      <c r="L775" s="666"/>
    </row>
    <row r="776" spans="1:12" hidden="1" outlineLevel="1" x14ac:dyDescent="0.35">
      <c r="A776" s="483"/>
      <c r="B776" s="762" t="s">
        <v>1923</v>
      </c>
      <c r="C776" s="664" t="s">
        <v>240</v>
      </c>
      <c r="D776" s="664"/>
      <c r="E776" s="664"/>
      <c r="F776" s="665"/>
      <c r="G776" s="664"/>
      <c r="H776" s="664"/>
      <c r="I776" s="664"/>
      <c r="J776" s="727"/>
      <c r="K776" s="664"/>
      <c r="L776" s="666"/>
    </row>
    <row r="777" spans="1:12" hidden="1" outlineLevel="1" x14ac:dyDescent="0.35">
      <c r="A777" s="483"/>
      <c r="B777" s="762" t="s">
        <v>1923</v>
      </c>
      <c r="C777" s="664" t="s">
        <v>241</v>
      </c>
      <c r="D777" s="664"/>
      <c r="E777" s="664"/>
      <c r="F777" s="665"/>
      <c r="G777" s="664"/>
      <c r="H777" s="664"/>
      <c r="I777" s="664"/>
      <c r="J777" s="727"/>
      <c r="K777" s="664"/>
      <c r="L777" s="666"/>
    </row>
    <row r="778" spans="1:12" hidden="1" outlineLevel="1" x14ac:dyDescent="0.35">
      <c r="A778" s="483"/>
      <c r="B778" s="762" t="s">
        <v>1923</v>
      </c>
      <c r="C778" s="664" t="s">
        <v>242</v>
      </c>
      <c r="D778" s="664"/>
      <c r="E778" s="664"/>
      <c r="F778" s="665"/>
      <c r="G778" s="664"/>
      <c r="H778" s="664"/>
      <c r="I778" s="664"/>
      <c r="J778" s="727"/>
      <c r="K778" s="664"/>
      <c r="L778" s="666"/>
    </row>
    <row r="779" spans="1:12" hidden="1" outlineLevel="1" x14ac:dyDescent="0.35">
      <c r="A779" s="483"/>
      <c r="B779" s="762" t="s">
        <v>1923</v>
      </c>
      <c r="C779" s="664" t="s">
        <v>243</v>
      </c>
      <c r="D779" s="664"/>
      <c r="E779" s="664"/>
      <c r="F779" s="665"/>
      <c r="G779" s="664"/>
      <c r="H779" s="664"/>
      <c r="I779" s="664"/>
      <c r="J779" s="727"/>
      <c r="K779" s="664"/>
      <c r="L779" s="666"/>
    </row>
    <row r="780" spans="1:12" hidden="1" outlineLevel="1" x14ac:dyDescent="0.35">
      <c r="A780" s="483"/>
      <c r="B780" s="762" t="s">
        <v>1923</v>
      </c>
      <c r="C780" s="664" t="s">
        <v>244</v>
      </c>
      <c r="D780" s="664"/>
      <c r="E780" s="664"/>
      <c r="F780" s="665"/>
      <c r="G780" s="664"/>
      <c r="H780" s="664"/>
      <c r="I780" s="664"/>
      <c r="J780" s="727"/>
      <c r="K780" s="664"/>
      <c r="L780" s="666"/>
    </row>
    <row r="781" spans="1:12" hidden="1" outlineLevel="1" x14ac:dyDescent="0.35">
      <c r="A781" s="483"/>
      <c r="B781" s="762" t="s">
        <v>1923</v>
      </c>
      <c r="C781" s="664" t="s">
        <v>245</v>
      </c>
      <c r="D781" s="664"/>
      <c r="E781" s="664"/>
      <c r="F781" s="665"/>
      <c r="G781" s="664"/>
      <c r="H781" s="664"/>
      <c r="I781" s="664"/>
      <c r="J781" s="727"/>
      <c r="K781" s="664"/>
      <c r="L781" s="666"/>
    </row>
    <row r="782" spans="1:12" hidden="1" outlineLevel="1" x14ac:dyDescent="0.35">
      <c r="A782" s="483"/>
      <c r="B782" s="762" t="s">
        <v>1923</v>
      </c>
      <c r="C782" s="664" t="s">
        <v>246</v>
      </c>
      <c r="D782" s="664"/>
      <c r="E782" s="664"/>
      <c r="F782" s="665"/>
      <c r="G782" s="664"/>
      <c r="H782" s="664"/>
      <c r="I782" s="664"/>
      <c r="J782" s="727"/>
      <c r="K782" s="664"/>
      <c r="L782" s="666"/>
    </row>
    <row r="783" spans="1:12" hidden="1" outlineLevel="1" x14ac:dyDescent="0.35">
      <c r="A783" s="483"/>
      <c r="B783" s="762" t="s">
        <v>1923</v>
      </c>
      <c r="C783" s="664" t="s">
        <v>247</v>
      </c>
      <c r="D783" s="664"/>
      <c r="E783" s="664"/>
      <c r="F783" s="665"/>
      <c r="G783" s="664"/>
      <c r="H783" s="664"/>
      <c r="I783" s="664"/>
      <c r="J783" s="727"/>
      <c r="K783" s="664"/>
      <c r="L783" s="666"/>
    </row>
    <row r="784" spans="1:12" hidden="1" outlineLevel="1" x14ac:dyDescent="0.35">
      <c r="A784" s="483"/>
      <c r="B784" s="762" t="s">
        <v>1923</v>
      </c>
      <c r="C784" s="664" t="s">
        <v>248</v>
      </c>
      <c r="D784" s="664"/>
      <c r="E784" s="664"/>
      <c r="F784" s="665"/>
      <c r="G784" s="664"/>
      <c r="H784" s="664"/>
      <c r="I784" s="664"/>
      <c r="J784" s="727"/>
      <c r="K784" s="664"/>
      <c r="L784" s="666"/>
    </row>
    <row r="785" spans="1:12" hidden="1" outlineLevel="1" x14ac:dyDescent="0.35">
      <c r="A785" s="483"/>
      <c r="B785" s="762" t="s">
        <v>1923</v>
      </c>
      <c r="C785" s="664" t="s">
        <v>249</v>
      </c>
      <c r="D785" s="664"/>
      <c r="E785" s="664"/>
      <c r="F785" s="665"/>
      <c r="G785" s="664"/>
      <c r="H785" s="664"/>
      <c r="I785" s="664"/>
      <c r="J785" s="727"/>
      <c r="K785" s="664"/>
      <c r="L785" s="666"/>
    </row>
    <row r="786" spans="1:12" hidden="1" outlineLevel="1" x14ac:dyDescent="0.35">
      <c r="A786" s="483"/>
      <c r="B786" s="762" t="s">
        <v>1923</v>
      </c>
      <c r="C786" s="664" t="s">
        <v>250</v>
      </c>
      <c r="D786" s="664"/>
      <c r="E786" s="664"/>
      <c r="F786" s="665"/>
      <c r="G786" s="664"/>
      <c r="H786" s="664"/>
      <c r="I786" s="664"/>
      <c r="J786" s="727"/>
      <c r="K786" s="664"/>
      <c r="L786" s="666"/>
    </row>
    <row r="787" spans="1:12" hidden="1" outlineLevel="1" x14ac:dyDescent="0.35">
      <c r="A787" s="483"/>
      <c r="B787" s="762" t="s">
        <v>1923</v>
      </c>
      <c r="C787" s="664" t="s">
        <v>251</v>
      </c>
      <c r="D787" s="664"/>
      <c r="E787" s="664"/>
      <c r="F787" s="665"/>
      <c r="G787" s="664"/>
      <c r="H787" s="664"/>
      <c r="I787" s="664"/>
      <c r="J787" s="727"/>
      <c r="K787" s="664"/>
      <c r="L787" s="666"/>
    </row>
    <row r="788" spans="1:12" hidden="1" outlineLevel="1" x14ac:dyDescent="0.35">
      <c r="A788" s="483"/>
      <c r="B788" s="762" t="s">
        <v>1923</v>
      </c>
      <c r="C788" s="664" t="s">
        <v>252</v>
      </c>
      <c r="D788" s="664"/>
      <c r="E788" s="664"/>
      <c r="F788" s="665"/>
      <c r="G788" s="664"/>
      <c r="H788" s="664"/>
      <c r="I788" s="664"/>
      <c r="J788" s="727"/>
      <c r="K788" s="664"/>
      <c r="L788" s="666"/>
    </row>
    <row r="789" spans="1:12" hidden="1" outlineLevel="1" x14ac:dyDescent="0.35">
      <c r="A789" s="483"/>
      <c r="B789" s="762" t="s">
        <v>1923</v>
      </c>
      <c r="C789" s="664" t="s">
        <v>253</v>
      </c>
      <c r="D789" s="664"/>
      <c r="E789" s="664"/>
      <c r="F789" s="665"/>
      <c r="G789" s="664"/>
      <c r="H789" s="664"/>
      <c r="I789" s="664"/>
      <c r="J789" s="727"/>
      <c r="K789" s="664"/>
      <c r="L789" s="666"/>
    </row>
    <row r="790" spans="1:12" hidden="1" outlineLevel="1" x14ac:dyDescent="0.35">
      <c r="A790" s="483"/>
      <c r="B790" s="762" t="s">
        <v>1923</v>
      </c>
      <c r="C790" s="664" t="s">
        <v>254</v>
      </c>
      <c r="D790" s="664"/>
      <c r="E790" s="664"/>
      <c r="F790" s="665"/>
      <c r="G790" s="664"/>
      <c r="H790" s="664"/>
      <c r="I790" s="664"/>
      <c r="J790" s="727"/>
      <c r="K790" s="664"/>
      <c r="L790" s="666"/>
    </row>
    <row r="791" spans="1:12" hidden="1" outlineLevel="1" x14ac:dyDescent="0.35">
      <c r="A791" s="483"/>
      <c r="B791" s="762" t="s">
        <v>1923</v>
      </c>
      <c r="C791" s="664" t="s">
        <v>255</v>
      </c>
      <c r="D791" s="664"/>
      <c r="E791" s="664"/>
      <c r="F791" s="665"/>
      <c r="G791" s="664"/>
      <c r="H791" s="664"/>
      <c r="I791" s="664"/>
      <c r="J791" s="727"/>
      <c r="K791" s="664"/>
      <c r="L791" s="666"/>
    </row>
    <row r="792" spans="1:12" hidden="1" outlineLevel="1" x14ac:dyDescent="0.35">
      <c r="A792" s="483"/>
      <c r="B792" s="762" t="s">
        <v>1923</v>
      </c>
      <c r="C792" s="664" t="s">
        <v>256</v>
      </c>
      <c r="D792" s="664"/>
      <c r="E792" s="664"/>
      <c r="F792" s="665"/>
      <c r="G792" s="664"/>
      <c r="H792" s="664"/>
      <c r="I792" s="664"/>
      <c r="J792" s="727"/>
      <c r="K792" s="664"/>
      <c r="L792" s="666"/>
    </row>
    <row r="793" spans="1:12" hidden="1" outlineLevel="1" x14ac:dyDescent="0.35">
      <c r="A793" s="483"/>
      <c r="B793" s="762" t="s">
        <v>1923</v>
      </c>
      <c r="C793" s="664" t="s">
        <v>257</v>
      </c>
      <c r="D793" s="664"/>
      <c r="E793" s="664"/>
      <c r="F793" s="665"/>
      <c r="G793" s="664"/>
      <c r="H793" s="664"/>
      <c r="I793" s="664"/>
      <c r="J793" s="727"/>
      <c r="K793" s="664"/>
      <c r="L793" s="666"/>
    </row>
    <row r="794" spans="1:12" hidden="1" outlineLevel="1" x14ac:dyDescent="0.35">
      <c r="A794" s="483"/>
      <c r="B794" s="762" t="s">
        <v>1923</v>
      </c>
      <c r="C794" s="664" t="s">
        <v>258</v>
      </c>
      <c r="D794" s="664"/>
      <c r="E794" s="664"/>
      <c r="F794" s="665"/>
      <c r="G794" s="664"/>
      <c r="H794" s="664"/>
      <c r="I794" s="664"/>
      <c r="J794" s="727"/>
      <c r="K794" s="664"/>
      <c r="L794" s="666"/>
    </row>
    <row r="795" spans="1:12" hidden="1" outlineLevel="1" x14ac:dyDescent="0.35">
      <c r="A795" s="483"/>
      <c r="B795" s="762" t="s">
        <v>1923</v>
      </c>
      <c r="C795" s="664" t="s">
        <v>259</v>
      </c>
      <c r="D795" s="664"/>
      <c r="E795" s="664"/>
      <c r="F795" s="665"/>
      <c r="G795" s="664"/>
      <c r="H795" s="664"/>
      <c r="I795" s="664"/>
      <c r="J795" s="727"/>
      <c r="K795" s="664"/>
      <c r="L795" s="666"/>
    </row>
    <row r="796" spans="1:12" hidden="1" outlineLevel="1" x14ac:dyDescent="0.35">
      <c r="A796" s="483"/>
      <c r="B796" s="762" t="s">
        <v>1923</v>
      </c>
      <c r="C796" s="664" t="s">
        <v>260</v>
      </c>
      <c r="D796" s="664"/>
      <c r="E796" s="664"/>
      <c r="F796" s="665"/>
      <c r="G796" s="664"/>
      <c r="H796" s="664"/>
      <c r="I796" s="664"/>
      <c r="J796" s="727"/>
      <c r="K796" s="664"/>
      <c r="L796" s="666"/>
    </row>
    <row r="797" spans="1:12" hidden="1" outlineLevel="1" x14ac:dyDescent="0.35">
      <c r="A797" s="483"/>
      <c r="B797" s="762" t="s">
        <v>1923</v>
      </c>
      <c r="C797" s="664" t="s">
        <v>261</v>
      </c>
      <c r="D797" s="664"/>
      <c r="E797" s="664"/>
      <c r="F797" s="665"/>
      <c r="G797" s="664"/>
      <c r="H797" s="664"/>
      <c r="I797" s="664"/>
      <c r="J797" s="727"/>
      <c r="K797" s="664"/>
      <c r="L797" s="666"/>
    </row>
    <row r="798" spans="1:12" hidden="1" outlineLevel="1" x14ac:dyDescent="0.35">
      <c r="A798" s="483"/>
      <c r="B798" s="762" t="s">
        <v>1923</v>
      </c>
      <c r="C798" s="664" t="s">
        <v>262</v>
      </c>
      <c r="D798" s="664"/>
      <c r="E798" s="664"/>
      <c r="F798" s="665"/>
      <c r="G798" s="664"/>
      <c r="H798" s="664"/>
      <c r="I798" s="664"/>
      <c r="J798" s="727"/>
      <c r="K798" s="664"/>
      <c r="L798" s="666"/>
    </row>
    <row r="799" spans="1:12" hidden="1" outlineLevel="1" x14ac:dyDescent="0.35">
      <c r="A799" s="483"/>
      <c r="B799" s="762" t="s">
        <v>1923</v>
      </c>
      <c r="C799" s="664" t="s">
        <v>263</v>
      </c>
      <c r="D799" s="664"/>
      <c r="E799" s="664"/>
      <c r="F799" s="665"/>
      <c r="G799" s="664"/>
      <c r="H799" s="664"/>
      <c r="I799" s="664"/>
      <c r="J799" s="727"/>
      <c r="K799" s="664"/>
      <c r="L799" s="666"/>
    </row>
    <row r="800" spans="1:12" hidden="1" outlineLevel="1" x14ac:dyDescent="0.35">
      <c r="A800" s="483"/>
      <c r="B800" s="762" t="s">
        <v>1923</v>
      </c>
      <c r="C800" s="664" t="s">
        <v>264</v>
      </c>
      <c r="D800" s="664"/>
      <c r="E800" s="664"/>
      <c r="F800" s="665"/>
      <c r="G800" s="664"/>
      <c r="H800" s="664"/>
      <c r="I800" s="664"/>
      <c r="J800" s="727"/>
      <c r="K800" s="664"/>
      <c r="L800" s="666"/>
    </row>
    <row r="801" spans="1:12" hidden="1" outlineLevel="1" x14ac:dyDescent="0.35">
      <c r="A801" s="483"/>
      <c r="B801" s="762" t="s">
        <v>1923</v>
      </c>
      <c r="C801" s="664" t="s">
        <v>265</v>
      </c>
      <c r="D801" s="664"/>
      <c r="E801" s="664"/>
      <c r="F801" s="665"/>
      <c r="G801" s="664"/>
      <c r="H801" s="664"/>
      <c r="I801" s="664"/>
      <c r="J801" s="727"/>
      <c r="K801" s="664"/>
      <c r="L801" s="666"/>
    </row>
    <row r="802" spans="1:12" hidden="1" outlineLevel="1" x14ac:dyDescent="0.35">
      <c r="A802" s="483"/>
      <c r="B802" s="762" t="s">
        <v>1923</v>
      </c>
      <c r="C802" s="664" t="s">
        <v>266</v>
      </c>
      <c r="D802" s="664"/>
      <c r="E802" s="664"/>
      <c r="F802" s="665"/>
      <c r="G802" s="664"/>
      <c r="H802" s="664"/>
      <c r="I802" s="664"/>
      <c r="J802" s="727"/>
      <c r="K802" s="664"/>
      <c r="L802" s="666"/>
    </row>
    <row r="803" spans="1:12" hidden="1" outlineLevel="1" x14ac:dyDescent="0.35">
      <c r="A803" s="483"/>
      <c r="B803" s="762" t="s">
        <v>1923</v>
      </c>
      <c r="C803" s="664" t="s">
        <v>267</v>
      </c>
      <c r="D803" s="664"/>
      <c r="E803" s="664"/>
      <c r="F803" s="665"/>
      <c r="G803" s="664"/>
      <c r="H803" s="664"/>
      <c r="I803" s="664"/>
      <c r="J803" s="727"/>
      <c r="K803" s="664"/>
      <c r="L803" s="666"/>
    </row>
    <row r="804" spans="1:12" hidden="1" outlineLevel="1" x14ac:dyDescent="0.35">
      <c r="A804" s="483"/>
      <c r="B804" s="762" t="s">
        <v>1923</v>
      </c>
      <c r="C804" s="664" t="s">
        <v>268</v>
      </c>
      <c r="D804" s="664"/>
      <c r="E804" s="664"/>
      <c r="F804" s="665"/>
      <c r="G804" s="664"/>
      <c r="H804" s="664"/>
      <c r="I804" s="664"/>
      <c r="J804" s="727"/>
      <c r="K804" s="664"/>
      <c r="L804" s="666"/>
    </row>
    <row r="805" spans="1:12" hidden="1" outlineLevel="1" x14ac:dyDescent="0.35">
      <c r="A805" s="483"/>
      <c r="B805" s="762" t="s">
        <v>1923</v>
      </c>
      <c r="C805" s="664" t="s">
        <v>269</v>
      </c>
      <c r="D805" s="664"/>
      <c r="E805" s="664"/>
      <c r="F805" s="665"/>
      <c r="G805" s="664"/>
      <c r="H805" s="664"/>
      <c r="I805" s="664"/>
      <c r="J805" s="727"/>
      <c r="K805" s="664"/>
      <c r="L805" s="666"/>
    </row>
    <row r="806" spans="1:12" hidden="1" outlineLevel="1" x14ac:dyDescent="0.35">
      <c r="A806" s="483"/>
      <c r="B806" s="762" t="s">
        <v>1923</v>
      </c>
      <c r="C806" s="664" t="s">
        <v>270</v>
      </c>
      <c r="D806" s="664"/>
      <c r="E806" s="664"/>
      <c r="F806" s="665"/>
      <c r="G806" s="664"/>
      <c r="H806" s="664"/>
      <c r="I806" s="664"/>
      <c r="J806" s="727"/>
      <c r="K806" s="664"/>
      <c r="L806" s="666"/>
    </row>
    <row r="807" spans="1:12" hidden="1" outlineLevel="1" x14ac:dyDescent="0.35">
      <c r="A807" s="483"/>
      <c r="B807" s="762" t="s">
        <v>1923</v>
      </c>
      <c r="C807" s="664" t="s">
        <v>271</v>
      </c>
      <c r="D807" s="664"/>
      <c r="E807" s="664"/>
      <c r="F807" s="665"/>
      <c r="G807" s="664"/>
      <c r="H807" s="664"/>
      <c r="I807" s="664"/>
      <c r="J807" s="727"/>
      <c r="K807" s="664"/>
      <c r="L807" s="666"/>
    </row>
    <row r="808" spans="1:12" hidden="1" outlineLevel="1" x14ac:dyDescent="0.35">
      <c r="A808" s="483"/>
      <c r="B808" s="762" t="s">
        <v>1923</v>
      </c>
      <c r="C808" s="664" t="s">
        <v>272</v>
      </c>
      <c r="D808" s="664"/>
      <c r="E808" s="664"/>
      <c r="F808" s="665"/>
      <c r="G808" s="664"/>
      <c r="H808" s="664"/>
      <c r="I808" s="664"/>
      <c r="J808" s="727"/>
      <c r="K808" s="664"/>
      <c r="L808" s="666"/>
    </row>
    <row r="809" spans="1:12" hidden="1" outlineLevel="1" x14ac:dyDescent="0.35">
      <c r="A809" s="483"/>
      <c r="B809" s="762" t="s">
        <v>1923</v>
      </c>
      <c r="C809" s="664" t="s">
        <v>273</v>
      </c>
      <c r="D809" s="664"/>
      <c r="E809" s="664"/>
      <c r="F809" s="665"/>
      <c r="G809" s="664"/>
      <c r="H809" s="664"/>
      <c r="I809" s="664"/>
      <c r="J809" s="727"/>
      <c r="K809" s="664"/>
      <c r="L809" s="666"/>
    </row>
    <row r="810" spans="1:12" hidden="1" outlineLevel="1" x14ac:dyDescent="0.35">
      <c r="A810" s="483"/>
      <c r="B810" s="762" t="s">
        <v>1923</v>
      </c>
      <c r="C810" s="664" t="s">
        <v>274</v>
      </c>
      <c r="D810" s="664"/>
      <c r="E810" s="664"/>
      <c r="F810" s="665"/>
      <c r="G810" s="664"/>
      <c r="H810" s="664"/>
      <c r="I810" s="664"/>
      <c r="J810" s="727"/>
      <c r="K810" s="664"/>
      <c r="L810" s="666"/>
    </row>
    <row r="811" spans="1:12" hidden="1" outlineLevel="1" x14ac:dyDescent="0.35">
      <c r="A811" s="483"/>
      <c r="B811" s="762" t="s">
        <v>1923</v>
      </c>
      <c r="C811" s="664" t="s">
        <v>275</v>
      </c>
      <c r="D811" s="664"/>
      <c r="E811" s="664"/>
      <c r="F811" s="665"/>
      <c r="G811" s="664"/>
      <c r="H811" s="664"/>
      <c r="I811" s="664"/>
      <c r="J811" s="727"/>
      <c r="K811" s="664"/>
      <c r="L811" s="666"/>
    </row>
    <row r="812" spans="1:12" hidden="1" outlineLevel="1" x14ac:dyDescent="0.35">
      <c r="A812" s="483"/>
      <c r="B812" s="762" t="s">
        <v>1923</v>
      </c>
      <c r="C812" s="664" t="s">
        <v>276</v>
      </c>
      <c r="D812" s="664"/>
      <c r="E812" s="664"/>
      <c r="F812" s="665"/>
      <c r="G812" s="664"/>
      <c r="H812" s="664"/>
      <c r="I812" s="664"/>
      <c r="J812" s="727"/>
      <c r="K812" s="664"/>
      <c r="L812" s="666"/>
    </row>
    <row r="813" spans="1:12" hidden="1" outlineLevel="1" x14ac:dyDescent="0.35">
      <c r="A813" s="483"/>
      <c r="B813" s="762" t="s">
        <v>1923</v>
      </c>
      <c r="C813" s="664" t="s">
        <v>277</v>
      </c>
      <c r="D813" s="664"/>
      <c r="E813" s="664"/>
      <c r="F813" s="665"/>
      <c r="G813" s="664"/>
      <c r="H813" s="664"/>
      <c r="I813" s="664"/>
      <c r="J813" s="727"/>
      <c r="K813" s="664"/>
      <c r="L813" s="666"/>
    </row>
    <row r="814" spans="1:12" hidden="1" outlineLevel="1" x14ac:dyDescent="0.35">
      <c r="A814" s="483"/>
      <c r="B814" s="762" t="s">
        <v>1923</v>
      </c>
      <c r="C814" s="664" t="s">
        <v>278</v>
      </c>
      <c r="D814" s="664"/>
      <c r="E814" s="664"/>
      <c r="F814" s="665"/>
      <c r="G814" s="664"/>
      <c r="H814" s="664"/>
      <c r="I814" s="664"/>
      <c r="J814" s="727"/>
      <c r="K814" s="664"/>
      <c r="L814" s="666"/>
    </row>
    <row r="815" spans="1:12" hidden="1" outlineLevel="1" x14ac:dyDescent="0.35">
      <c r="A815" s="483"/>
      <c r="B815" s="762" t="s">
        <v>1923</v>
      </c>
      <c r="C815" s="664" t="s">
        <v>279</v>
      </c>
      <c r="D815" s="664"/>
      <c r="E815" s="664"/>
      <c r="F815" s="665"/>
      <c r="G815" s="664"/>
      <c r="H815" s="664"/>
      <c r="I815" s="664"/>
      <c r="J815" s="727"/>
      <c r="K815" s="664"/>
      <c r="L815" s="666"/>
    </row>
    <row r="816" spans="1:12" hidden="1" outlineLevel="1" x14ac:dyDescent="0.35">
      <c r="A816" s="483"/>
      <c r="B816" s="762" t="s">
        <v>1923</v>
      </c>
      <c r="C816" s="664" t="s">
        <v>280</v>
      </c>
      <c r="D816" s="664"/>
      <c r="E816" s="664"/>
      <c r="F816" s="665"/>
      <c r="G816" s="664"/>
      <c r="H816" s="664"/>
      <c r="I816" s="664"/>
      <c r="J816" s="727"/>
      <c r="K816" s="664"/>
      <c r="L816" s="666"/>
    </row>
    <row r="817" spans="1:12" hidden="1" outlineLevel="1" x14ac:dyDescent="0.35">
      <c r="A817" s="483"/>
      <c r="B817" s="762" t="s">
        <v>1923</v>
      </c>
      <c r="C817" s="664" t="s">
        <v>281</v>
      </c>
      <c r="D817" s="664"/>
      <c r="E817" s="664"/>
      <c r="F817" s="665"/>
      <c r="G817" s="664"/>
      <c r="H817" s="664"/>
      <c r="I817" s="664"/>
      <c r="J817" s="727"/>
      <c r="K817" s="664"/>
      <c r="L817" s="666"/>
    </row>
    <row r="818" spans="1:12" hidden="1" outlineLevel="1" x14ac:dyDescent="0.35">
      <c r="A818" s="483"/>
      <c r="B818" s="762" t="s">
        <v>1923</v>
      </c>
      <c r="C818" s="664" t="s">
        <v>282</v>
      </c>
      <c r="D818" s="664"/>
      <c r="E818" s="664"/>
      <c r="F818" s="665"/>
      <c r="G818" s="664"/>
      <c r="H818" s="664"/>
      <c r="I818" s="664"/>
      <c r="J818" s="727"/>
      <c r="K818" s="664"/>
      <c r="L818" s="666"/>
    </row>
    <row r="819" spans="1:12" hidden="1" outlineLevel="1" x14ac:dyDescent="0.35">
      <c r="A819" s="483"/>
      <c r="B819" s="762" t="s">
        <v>1923</v>
      </c>
      <c r="C819" s="664" t="s">
        <v>283</v>
      </c>
      <c r="D819" s="664"/>
      <c r="E819" s="664"/>
      <c r="F819" s="665"/>
      <c r="G819" s="664"/>
      <c r="H819" s="664"/>
      <c r="I819" s="664"/>
      <c r="J819" s="727"/>
      <c r="K819" s="664"/>
      <c r="L819" s="666"/>
    </row>
    <row r="820" spans="1:12" hidden="1" outlineLevel="1" x14ac:dyDescent="0.35">
      <c r="A820" s="483"/>
      <c r="B820" s="762" t="s">
        <v>1923</v>
      </c>
      <c r="C820" s="664" t="s">
        <v>284</v>
      </c>
      <c r="D820" s="664"/>
      <c r="E820" s="664"/>
      <c r="F820" s="665"/>
      <c r="G820" s="664"/>
      <c r="H820" s="664"/>
      <c r="I820" s="664"/>
      <c r="J820" s="727"/>
      <c r="K820" s="664"/>
      <c r="L820" s="666"/>
    </row>
    <row r="821" spans="1:12" hidden="1" outlineLevel="1" x14ac:dyDescent="0.35">
      <c r="A821" s="483"/>
      <c r="B821" s="762" t="s">
        <v>1923</v>
      </c>
      <c r="C821" s="664" t="s">
        <v>285</v>
      </c>
      <c r="D821" s="664"/>
      <c r="E821" s="664"/>
      <c r="F821" s="665"/>
      <c r="G821" s="664"/>
      <c r="H821" s="664"/>
      <c r="I821" s="664"/>
      <c r="J821" s="727"/>
      <c r="K821" s="664"/>
      <c r="L821" s="666"/>
    </row>
    <row r="822" spans="1:12" hidden="1" outlineLevel="1" x14ac:dyDescent="0.35">
      <c r="A822" s="483"/>
      <c r="B822" s="762" t="s">
        <v>1923</v>
      </c>
      <c r="C822" s="664" t="s">
        <v>286</v>
      </c>
      <c r="D822" s="664"/>
      <c r="E822" s="664"/>
      <c r="F822" s="665"/>
      <c r="G822" s="664"/>
      <c r="H822" s="664"/>
      <c r="I822" s="664"/>
      <c r="J822" s="727"/>
      <c r="K822" s="664"/>
      <c r="L822" s="666"/>
    </row>
    <row r="823" spans="1:12" hidden="1" outlineLevel="1" x14ac:dyDescent="0.35">
      <c r="A823" s="483"/>
      <c r="B823" s="762" t="s">
        <v>1923</v>
      </c>
      <c r="C823" s="664" t="s">
        <v>287</v>
      </c>
      <c r="D823" s="664"/>
      <c r="E823" s="664"/>
      <c r="F823" s="665"/>
      <c r="G823" s="664"/>
      <c r="H823" s="664"/>
      <c r="I823" s="664"/>
      <c r="J823" s="727"/>
      <c r="K823" s="664"/>
      <c r="L823" s="666"/>
    </row>
    <row r="824" spans="1:12" hidden="1" outlineLevel="1" x14ac:dyDescent="0.35">
      <c r="A824" s="483"/>
      <c r="B824" s="762" t="s">
        <v>1923</v>
      </c>
      <c r="C824" s="664" t="s">
        <v>288</v>
      </c>
      <c r="D824" s="664"/>
      <c r="E824" s="664"/>
      <c r="F824" s="665"/>
      <c r="G824" s="664"/>
      <c r="H824" s="664"/>
      <c r="I824" s="664"/>
      <c r="J824" s="727"/>
      <c r="K824" s="664"/>
      <c r="L824" s="666"/>
    </row>
    <row r="825" spans="1:12" hidden="1" outlineLevel="1" x14ac:dyDescent="0.35">
      <c r="A825" s="483"/>
      <c r="B825" s="762" t="s">
        <v>1923</v>
      </c>
      <c r="C825" s="664" t="s">
        <v>289</v>
      </c>
      <c r="D825" s="664"/>
      <c r="E825" s="664"/>
      <c r="F825" s="665"/>
      <c r="G825" s="664"/>
      <c r="H825" s="664"/>
      <c r="I825" s="664"/>
      <c r="J825" s="727"/>
      <c r="K825" s="664"/>
      <c r="L825" s="666"/>
    </row>
    <row r="826" spans="1:12" hidden="1" outlineLevel="1" x14ac:dyDescent="0.35">
      <c r="A826" s="483"/>
      <c r="B826" s="762" t="s">
        <v>1923</v>
      </c>
      <c r="C826" s="664" t="s">
        <v>290</v>
      </c>
      <c r="D826" s="664"/>
      <c r="E826" s="664"/>
      <c r="F826" s="665"/>
      <c r="G826" s="664"/>
      <c r="H826" s="664"/>
      <c r="I826" s="664"/>
      <c r="J826" s="727"/>
      <c r="K826" s="664"/>
      <c r="L826" s="666"/>
    </row>
    <row r="827" spans="1:12" hidden="1" outlineLevel="1" x14ac:dyDescent="0.35">
      <c r="A827" s="483"/>
      <c r="B827" s="762" t="s">
        <v>1923</v>
      </c>
      <c r="C827" s="664" t="s">
        <v>291</v>
      </c>
      <c r="D827" s="664"/>
      <c r="E827" s="664"/>
      <c r="F827" s="665"/>
      <c r="G827" s="664"/>
      <c r="H827" s="664"/>
      <c r="I827" s="664"/>
      <c r="J827" s="727"/>
      <c r="K827" s="664"/>
      <c r="L827" s="666"/>
    </row>
    <row r="828" spans="1:12" hidden="1" outlineLevel="1" x14ac:dyDescent="0.35">
      <c r="A828" s="483"/>
      <c r="B828" s="762" t="s">
        <v>1923</v>
      </c>
      <c r="C828" s="664" t="s">
        <v>292</v>
      </c>
      <c r="D828" s="664"/>
      <c r="E828" s="664"/>
      <c r="F828" s="665"/>
      <c r="G828" s="664"/>
      <c r="H828" s="664"/>
      <c r="I828" s="664"/>
      <c r="J828" s="727"/>
      <c r="K828" s="664"/>
      <c r="L828" s="666"/>
    </row>
    <row r="829" spans="1:12" hidden="1" outlineLevel="1" x14ac:dyDescent="0.35">
      <c r="A829" s="483"/>
      <c r="B829" s="762" t="s">
        <v>1923</v>
      </c>
      <c r="C829" s="664" t="s">
        <v>293</v>
      </c>
      <c r="D829" s="664"/>
      <c r="E829" s="664"/>
      <c r="F829" s="665"/>
      <c r="G829" s="664"/>
      <c r="H829" s="664"/>
      <c r="I829" s="664"/>
      <c r="J829" s="727"/>
      <c r="K829" s="664"/>
      <c r="L829" s="666"/>
    </row>
    <row r="830" spans="1:12" hidden="1" outlineLevel="1" x14ac:dyDescent="0.35">
      <c r="A830" s="483"/>
      <c r="B830" s="762" t="s">
        <v>1923</v>
      </c>
      <c r="C830" s="664" t="s">
        <v>294</v>
      </c>
      <c r="D830" s="664"/>
      <c r="E830" s="664"/>
      <c r="F830" s="665"/>
      <c r="G830" s="664"/>
      <c r="H830" s="664"/>
      <c r="I830" s="664"/>
      <c r="J830" s="727"/>
      <c r="K830" s="664"/>
      <c r="L830" s="666"/>
    </row>
    <row r="831" spans="1:12" hidden="1" outlineLevel="1" x14ac:dyDescent="0.35">
      <c r="A831" s="483"/>
      <c r="B831" s="762" t="s">
        <v>1923</v>
      </c>
      <c r="C831" s="664" t="s">
        <v>295</v>
      </c>
      <c r="D831" s="664"/>
      <c r="E831" s="664"/>
      <c r="F831" s="665"/>
      <c r="G831" s="664"/>
      <c r="H831" s="664"/>
      <c r="I831" s="664"/>
      <c r="J831" s="727"/>
      <c r="K831" s="664"/>
      <c r="L831" s="666"/>
    </row>
    <row r="832" spans="1:12" hidden="1" outlineLevel="1" x14ac:dyDescent="0.35">
      <c r="A832" s="483"/>
      <c r="B832" s="762" t="s">
        <v>1923</v>
      </c>
      <c r="C832" s="664" t="s">
        <v>296</v>
      </c>
      <c r="D832" s="664"/>
      <c r="E832" s="664"/>
      <c r="F832" s="665"/>
      <c r="G832" s="664"/>
      <c r="H832" s="664"/>
      <c r="I832" s="664"/>
      <c r="J832" s="727"/>
      <c r="K832" s="664"/>
      <c r="L832" s="666"/>
    </row>
    <row r="833" spans="1:12" hidden="1" outlineLevel="1" x14ac:dyDescent="0.35">
      <c r="A833" s="483"/>
      <c r="B833" s="762" t="s">
        <v>1923</v>
      </c>
      <c r="C833" s="664" t="s">
        <v>297</v>
      </c>
      <c r="D833" s="664"/>
      <c r="E833" s="664"/>
      <c r="F833" s="665"/>
      <c r="G833" s="664"/>
      <c r="H833" s="664"/>
      <c r="I833" s="664"/>
      <c r="J833" s="727"/>
      <c r="K833" s="664"/>
      <c r="L833" s="666"/>
    </row>
    <row r="834" spans="1:12" hidden="1" outlineLevel="1" x14ac:dyDescent="0.35">
      <c r="A834" s="483"/>
      <c r="B834" s="762" t="s">
        <v>1923</v>
      </c>
      <c r="C834" s="664" t="s">
        <v>298</v>
      </c>
      <c r="D834" s="664"/>
      <c r="E834" s="664"/>
      <c r="F834" s="665"/>
      <c r="G834" s="664"/>
      <c r="H834" s="664"/>
      <c r="I834" s="664"/>
      <c r="J834" s="727"/>
      <c r="K834" s="664"/>
      <c r="L834" s="666"/>
    </row>
    <row r="835" spans="1:12" hidden="1" outlineLevel="1" x14ac:dyDescent="0.35">
      <c r="A835" s="483"/>
      <c r="B835" s="762" t="s">
        <v>1923</v>
      </c>
      <c r="C835" s="664" t="s">
        <v>299</v>
      </c>
      <c r="D835" s="664"/>
      <c r="E835" s="664"/>
      <c r="F835" s="665"/>
      <c r="G835" s="664"/>
      <c r="H835" s="664"/>
      <c r="I835" s="664"/>
      <c r="J835" s="727"/>
      <c r="K835" s="664"/>
      <c r="L835" s="666"/>
    </row>
    <row r="836" spans="1:12" hidden="1" outlineLevel="1" x14ac:dyDescent="0.35">
      <c r="A836" s="483"/>
      <c r="B836" s="762" t="s">
        <v>1923</v>
      </c>
      <c r="C836" s="664" t="s">
        <v>300</v>
      </c>
      <c r="D836" s="664"/>
      <c r="E836" s="664"/>
      <c r="F836" s="665"/>
      <c r="G836" s="664"/>
      <c r="H836" s="664"/>
      <c r="I836" s="664"/>
      <c r="J836" s="727"/>
      <c r="K836" s="664"/>
      <c r="L836" s="666"/>
    </row>
    <row r="837" spans="1:12" hidden="1" outlineLevel="1" x14ac:dyDescent="0.35">
      <c r="A837" s="483"/>
      <c r="B837" s="762" t="s">
        <v>1923</v>
      </c>
      <c r="C837" s="664" t="s">
        <v>301</v>
      </c>
      <c r="D837" s="664"/>
      <c r="E837" s="664"/>
      <c r="F837" s="665"/>
      <c r="G837" s="664"/>
      <c r="H837" s="664"/>
      <c r="I837" s="664"/>
      <c r="J837" s="727"/>
      <c r="K837" s="664"/>
      <c r="L837" s="666"/>
    </row>
    <row r="838" spans="1:12" hidden="1" outlineLevel="1" x14ac:dyDescent="0.35">
      <c r="A838" s="483"/>
      <c r="B838" s="762" t="s">
        <v>1923</v>
      </c>
      <c r="C838" s="664" t="s">
        <v>302</v>
      </c>
      <c r="D838" s="664"/>
      <c r="E838" s="664"/>
      <c r="F838" s="665"/>
      <c r="G838" s="664"/>
      <c r="H838" s="664"/>
      <c r="I838" s="664"/>
      <c r="J838" s="727"/>
      <c r="K838" s="664"/>
      <c r="L838" s="666"/>
    </row>
    <row r="839" spans="1:12" hidden="1" outlineLevel="1" x14ac:dyDescent="0.35">
      <c r="A839" s="483"/>
      <c r="B839" s="762" t="s">
        <v>1923</v>
      </c>
      <c r="C839" s="664" t="s">
        <v>303</v>
      </c>
      <c r="D839" s="664"/>
      <c r="E839" s="664"/>
      <c r="F839" s="665"/>
      <c r="G839" s="664"/>
      <c r="H839" s="664"/>
      <c r="I839" s="664"/>
      <c r="J839" s="727"/>
      <c r="K839" s="664"/>
      <c r="L839" s="666"/>
    </row>
    <row r="840" spans="1:12" hidden="1" outlineLevel="1" x14ac:dyDescent="0.35">
      <c r="A840" s="483"/>
      <c r="B840" s="762" t="s">
        <v>1923</v>
      </c>
      <c r="C840" s="664" t="s">
        <v>304</v>
      </c>
      <c r="D840" s="664"/>
      <c r="E840" s="664"/>
      <c r="F840" s="665"/>
      <c r="G840" s="664"/>
      <c r="H840" s="664"/>
      <c r="I840" s="664"/>
      <c r="J840" s="727"/>
      <c r="K840" s="664"/>
      <c r="L840" s="666"/>
    </row>
    <row r="841" spans="1:12" hidden="1" outlineLevel="1" x14ac:dyDescent="0.35">
      <c r="A841" s="483"/>
      <c r="B841" s="762" t="s">
        <v>1923</v>
      </c>
      <c r="C841" s="664" t="s">
        <v>305</v>
      </c>
      <c r="D841" s="664"/>
      <c r="E841" s="664"/>
      <c r="F841" s="665"/>
      <c r="G841" s="664"/>
      <c r="H841" s="664"/>
      <c r="I841" s="664"/>
      <c r="J841" s="727"/>
      <c r="K841" s="664"/>
      <c r="L841" s="666"/>
    </row>
    <row r="842" spans="1:12" hidden="1" outlineLevel="1" x14ac:dyDescent="0.35">
      <c r="A842" s="483"/>
      <c r="B842" s="762" t="s">
        <v>1923</v>
      </c>
      <c r="C842" s="664" t="s">
        <v>306</v>
      </c>
      <c r="D842" s="664"/>
      <c r="E842" s="664"/>
      <c r="F842" s="665"/>
      <c r="G842" s="664"/>
      <c r="H842" s="664"/>
      <c r="I842" s="664"/>
      <c r="J842" s="727"/>
      <c r="K842" s="664"/>
      <c r="L842" s="666"/>
    </row>
    <row r="843" spans="1:12" hidden="1" outlineLevel="1" x14ac:dyDescent="0.35">
      <c r="A843" s="483"/>
      <c r="B843" s="762" t="s">
        <v>1923</v>
      </c>
      <c r="C843" s="664" t="s">
        <v>307</v>
      </c>
      <c r="D843" s="664"/>
      <c r="E843" s="664"/>
      <c r="F843" s="665"/>
      <c r="G843" s="664"/>
      <c r="H843" s="664"/>
      <c r="I843" s="664"/>
      <c r="J843" s="727"/>
      <c r="K843" s="664"/>
      <c r="L843" s="666"/>
    </row>
    <row r="844" spans="1:12" hidden="1" outlineLevel="1" x14ac:dyDescent="0.35">
      <c r="A844" s="483"/>
      <c r="B844" s="762" t="s">
        <v>1923</v>
      </c>
      <c r="C844" s="664" t="s">
        <v>308</v>
      </c>
      <c r="D844" s="664"/>
      <c r="E844" s="664"/>
      <c r="F844" s="665"/>
      <c r="G844" s="664"/>
      <c r="H844" s="664"/>
      <c r="I844" s="664"/>
      <c r="J844" s="727"/>
      <c r="K844" s="664"/>
      <c r="L844" s="666"/>
    </row>
    <row r="845" spans="1:12" hidden="1" outlineLevel="1" x14ac:dyDescent="0.35">
      <c r="A845" s="483"/>
      <c r="B845" s="762" t="s">
        <v>1923</v>
      </c>
      <c r="C845" s="664" t="s">
        <v>309</v>
      </c>
      <c r="D845" s="664"/>
      <c r="E845" s="664"/>
      <c r="F845" s="665"/>
      <c r="G845" s="664"/>
      <c r="H845" s="664"/>
      <c r="I845" s="664"/>
      <c r="J845" s="727"/>
      <c r="K845" s="664"/>
      <c r="L845" s="666"/>
    </row>
    <row r="846" spans="1:12" hidden="1" outlineLevel="1" x14ac:dyDescent="0.35">
      <c r="A846" s="483"/>
      <c r="B846" s="762" t="s">
        <v>1923</v>
      </c>
      <c r="C846" s="664" t="s">
        <v>310</v>
      </c>
      <c r="D846" s="664"/>
      <c r="E846" s="664"/>
      <c r="F846" s="665"/>
      <c r="G846" s="664"/>
      <c r="H846" s="664"/>
      <c r="I846" s="664"/>
      <c r="J846" s="727"/>
      <c r="K846" s="664"/>
      <c r="L846" s="666"/>
    </row>
    <row r="847" spans="1:12" hidden="1" outlineLevel="1" x14ac:dyDescent="0.35">
      <c r="A847" s="483"/>
      <c r="B847" s="762" t="s">
        <v>1923</v>
      </c>
      <c r="C847" s="664" t="s">
        <v>311</v>
      </c>
      <c r="D847" s="664"/>
      <c r="E847" s="664"/>
      <c r="F847" s="665"/>
      <c r="G847" s="664"/>
      <c r="H847" s="664"/>
      <c r="I847" s="664"/>
      <c r="J847" s="727"/>
      <c r="K847" s="664"/>
      <c r="L847" s="666"/>
    </row>
    <row r="848" spans="1:12" hidden="1" outlineLevel="1" x14ac:dyDescent="0.35">
      <c r="A848" s="483"/>
      <c r="B848" s="762" t="s">
        <v>1923</v>
      </c>
      <c r="C848" s="664" t="s">
        <v>312</v>
      </c>
      <c r="D848" s="664"/>
      <c r="E848" s="664"/>
      <c r="F848" s="665"/>
      <c r="G848" s="664"/>
      <c r="H848" s="664"/>
      <c r="I848" s="664"/>
      <c r="J848" s="727"/>
      <c r="K848" s="664"/>
      <c r="L848" s="666"/>
    </row>
    <row r="849" spans="1:12" hidden="1" outlineLevel="1" x14ac:dyDescent="0.35">
      <c r="A849" s="483"/>
      <c r="B849" s="762" t="s">
        <v>1923</v>
      </c>
      <c r="C849" s="664" t="s">
        <v>313</v>
      </c>
      <c r="D849" s="664"/>
      <c r="E849" s="664"/>
      <c r="F849" s="665"/>
      <c r="G849" s="664"/>
      <c r="H849" s="664"/>
      <c r="I849" s="664"/>
      <c r="J849" s="727"/>
      <c r="K849" s="664"/>
      <c r="L849" s="666"/>
    </row>
    <row r="850" spans="1:12" hidden="1" outlineLevel="1" x14ac:dyDescent="0.35">
      <c r="A850" s="483"/>
      <c r="B850" s="762" t="s">
        <v>1923</v>
      </c>
      <c r="C850" s="664" t="s">
        <v>314</v>
      </c>
      <c r="D850" s="664"/>
      <c r="E850" s="664"/>
      <c r="F850" s="665"/>
      <c r="G850" s="664"/>
      <c r="H850" s="664"/>
      <c r="I850" s="664"/>
      <c r="J850" s="727"/>
      <c r="K850" s="664"/>
      <c r="L850" s="666"/>
    </row>
    <row r="851" spans="1:12" hidden="1" outlineLevel="1" x14ac:dyDescent="0.35">
      <c r="A851" s="483"/>
      <c r="B851" s="762" t="s">
        <v>1923</v>
      </c>
      <c r="C851" s="664" t="s">
        <v>315</v>
      </c>
      <c r="D851" s="664"/>
      <c r="E851" s="664"/>
      <c r="F851" s="665"/>
      <c r="G851" s="664"/>
      <c r="H851" s="664"/>
      <c r="I851" s="664"/>
      <c r="J851" s="727"/>
      <c r="K851" s="664"/>
      <c r="L851" s="666"/>
    </row>
    <row r="852" spans="1:12" hidden="1" outlineLevel="1" x14ac:dyDescent="0.35">
      <c r="A852" s="483"/>
      <c r="B852" s="762" t="s">
        <v>1923</v>
      </c>
      <c r="C852" s="664" t="s">
        <v>316</v>
      </c>
      <c r="D852" s="664"/>
      <c r="E852" s="664"/>
      <c r="F852" s="665"/>
      <c r="G852" s="664"/>
      <c r="H852" s="664"/>
      <c r="I852" s="664"/>
      <c r="J852" s="727"/>
      <c r="K852" s="664"/>
      <c r="L852" s="666"/>
    </row>
    <row r="853" spans="1:12" hidden="1" outlineLevel="1" x14ac:dyDescent="0.35">
      <c r="A853" s="483"/>
      <c r="B853" s="762" t="s">
        <v>1923</v>
      </c>
      <c r="C853" s="664" t="s">
        <v>317</v>
      </c>
      <c r="D853" s="664"/>
      <c r="E853" s="664"/>
      <c r="F853" s="665"/>
      <c r="G853" s="664"/>
      <c r="H853" s="664"/>
      <c r="I853" s="664"/>
      <c r="J853" s="727"/>
      <c r="K853" s="664"/>
      <c r="L853" s="666"/>
    </row>
    <row r="854" spans="1:12" hidden="1" outlineLevel="1" x14ac:dyDescent="0.35">
      <c r="A854" s="483"/>
      <c r="B854" s="762" t="s">
        <v>1923</v>
      </c>
      <c r="C854" s="664" t="s">
        <v>318</v>
      </c>
      <c r="D854" s="664"/>
      <c r="E854" s="664"/>
      <c r="F854" s="665"/>
      <c r="G854" s="664"/>
      <c r="H854" s="664"/>
      <c r="I854" s="664"/>
      <c r="J854" s="727"/>
      <c r="K854" s="664"/>
      <c r="L854" s="666"/>
    </row>
    <row r="855" spans="1:12" hidden="1" outlineLevel="1" x14ac:dyDescent="0.35">
      <c r="A855" s="483"/>
      <c r="B855" s="762" t="s">
        <v>1923</v>
      </c>
      <c r="C855" s="664" t="s">
        <v>319</v>
      </c>
      <c r="D855" s="664"/>
      <c r="E855" s="664"/>
      <c r="F855" s="665"/>
      <c r="G855" s="664"/>
      <c r="H855" s="664"/>
      <c r="I855" s="664"/>
      <c r="J855" s="727"/>
      <c r="K855" s="664"/>
      <c r="L855" s="666"/>
    </row>
    <row r="856" spans="1:12" hidden="1" outlineLevel="1" x14ac:dyDescent="0.35">
      <c r="A856" s="483"/>
      <c r="B856" s="762" t="s">
        <v>1923</v>
      </c>
      <c r="C856" s="664" t="s">
        <v>320</v>
      </c>
      <c r="D856" s="664"/>
      <c r="E856" s="664"/>
      <c r="F856" s="665"/>
      <c r="G856" s="664"/>
      <c r="H856" s="664"/>
      <c r="I856" s="664"/>
      <c r="J856" s="727"/>
      <c r="K856" s="664"/>
      <c r="L856" s="666"/>
    </row>
    <row r="857" spans="1:12" hidden="1" outlineLevel="1" x14ac:dyDescent="0.35">
      <c r="A857" s="483"/>
      <c r="B857" s="762" t="s">
        <v>1923</v>
      </c>
      <c r="C857" s="664" t="s">
        <v>321</v>
      </c>
      <c r="D857" s="664"/>
      <c r="E857" s="664"/>
      <c r="F857" s="665"/>
      <c r="G857" s="664"/>
      <c r="H857" s="664"/>
      <c r="I857" s="664"/>
      <c r="J857" s="727"/>
      <c r="K857" s="664"/>
      <c r="L857" s="666"/>
    </row>
    <row r="858" spans="1:12" hidden="1" outlineLevel="1" x14ac:dyDescent="0.35">
      <c r="A858" s="483"/>
      <c r="B858" s="762" t="s">
        <v>1923</v>
      </c>
      <c r="C858" s="664" t="s">
        <v>322</v>
      </c>
      <c r="D858" s="664"/>
      <c r="E858" s="664"/>
      <c r="F858" s="665"/>
      <c r="G858" s="664"/>
      <c r="H858" s="664"/>
      <c r="I858" s="664"/>
      <c r="J858" s="727"/>
      <c r="K858" s="664"/>
      <c r="L858" s="666"/>
    </row>
    <row r="859" spans="1:12" hidden="1" outlineLevel="1" x14ac:dyDescent="0.35">
      <c r="A859" s="483"/>
      <c r="B859" s="762" t="s">
        <v>1923</v>
      </c>
      <c r="C859" s="664" t="s">
        <v>323</v>
      </c>
      <c r="D859" s="664"/>
      <c r="E859" s="664"/>
      <c r="F859" s="665"/>
      <c r="G859" s="664"/>
      <c r="H859" s="664"/>
      <c r="I859" s="664"/>
      <c r="J859" s="727"/>
      <c r="K859" s="664"/>
      <c r="L859" s="666"/>
    </row>
    <row r="860" spans="1:12" hidden="1" outlineLevel="1" x14ac:dyDescent="0.35">
      <c r="A860" s="483"/>
      <c r="B860" s="762" t="s">
        <v>1923</v>
      </c>
      <c r="C860" s="664" t="s">
        <v>324</v>
      </c>
      <c r="D860" s="664"/>
      <c r="E860" s="664"/>
      <c r="F860" s="665"/>
      <c r="G860" s="664"/>
      <c r="H860" s="664"/>
      <c r="I860" s="664"/>
      <c r="J860" s="727"/>
      <c r="K860" s="664"/>
      <c r="L860" s="666"/>
    </row>
    <row r="861" spans="1:12" hidden="1" outlineLevel="1" x14ac:dyDescent="0.35">
      <c r="A861" s="483"/>
      <c r="B861" s="762" t="s">
        <v>1923</v>
      </c>
      <c r="C861" s="664" t="s">
        <v>325</v>
      </c>
      <c r="D861" s="664"/>
      <c r="E861" s="664"/>
      <c r="F861" s="665"/>
      <c r="G861" s="664"/>
      <c r="H861" s="664"/>
      <c r="I861" s="664"/>
      <c r="J861" s="727"/>
      <c r="K861" s="664"/>
      <c r="L861" s="666"/>
    </row>
    <row r="862" spans="1:12" hidden="1" outlineLevel="1" x14ac:dyDescent="0.35">
      <c r="A862" s="483"/>
      <c r="B862" s="762" t="s">
        <v>1923</v>
      </c>
      <c r="C862" s="664" t="s">
        <v>326</v>
      </c>
      <c r="D862" s="664"/>
      <c r="E862" s="664"/>
      <c r="F862" s="665"/>
      <c r="G862" s="664"/>
      <c r="H862" s="664"/>
      <c r="I862" s="664"/>
      <c r="J862" s="727"/>
      <c r="K862" s="664"/>
      <c r="L862" s="666"/>
    </row>
    <row r="863" spans="1:12" hidden="1" outlineLevel="1" x14ac:dyDescent="0.35">
      <c r="A863" s="483"/>
      <c r="B863" s="762" t="s">
        <v>1923</v>
      </c>
      <c r="C863" s="664" t="s">
        <v>327</v>
      </c>
      <c r="D863" s="664"/>
      <c r="E863" s="664"/>
      <c r="F863" s="665"/>
      <c r="G863" s="664"/>
      <c r="H863" s="664"/>
      <c r="I863" s="664"/>
      <c r="J863" s="727"/>
      <c r="K863" s="664"/>
      <c r="L863" s="666"/>
    </row>
    <row r="864" spans="1:12" hidden="1" outlineLevel="1" x14ac:dyDescent="0.35">
      <c r="A864" s="483"/>
      <c r="B864" s="762" t="s">
        <v>1923</v>
      </c>
      <c r="C864" s="664" t="s">
        <v>328</v>
      </c>
      <c r="D864" s="664"/>
      <c r="E864" s="664"/>
      <c r="F864" s="665"/>
      <c r="G864" s="664"/>
      <c r="H864" s="664"/>
      <c r="I864" s="664"/>
      <c r="J864" s="727"/>
      <c r="K864" s="664"/>
      <c r="L864" s="666"/>
    </row>
    <row r="865" spans="1:12" hidden="1" outlineLevel="1" x14ac:dyDescent="0.35">
      <c r="A865" s="483"/>
      <c r="B865" s="762" t="s">
        <v>1923</v>
      </c>
      <c r="C865" s="664" t="s">
        <v>329</v>
      </c>
      <c r="D865" s="664"/>
      <c r="E865" s="664"/>
      <c r="F865" s="665"/>
      <c r="G865" s="664"/>
      <c r="H865" s="664"/>
      <c r="I865" s="664"/>
      <c r="J865" s="727"/>
      <c r="K865" s="664"/>
      <c r="L865" s="666"/>
    </row>
    <row r="866" spans="1:12" hidden="1" outlineLevel="1" x14ac:dyDescent="0.35">
      <c r="A866" s="483"/>
      <c r="B866" s="762" t="s">
        <v>1923</v>
      </c>
      <c r="C866" s="664" t="s">
        <v>330</v>
      </c>
      <c r="D866" s="664"/>
      <c r="E866" s="664"/>
      <c r="F866" s="665"/>
      <c r="G866" s="664"/>
      <c r="H866" s="664"/>
      <c r="I866" s="664"/>
      <c r="J866" s="727"/>
      <c r="K866" s="664"/>
      <c r="L866" s="666"/>
    </row>
    <row r="867" spans="1:12" hidden="1" outlineLevel="1" x14ac:dyDescent="0.35">
      <c r="A867" s="483"/>
      <c r="B867" s="762" t="s">
        <v>1923</v>
      </c>
      <c r="C867" s="664" t="s">
        <v>331</v>
      </c>
      <c r="D867" s="664"/>
      <c r="E867" s="664"/>
      <c r="F867" s="665"/>
      <c r="G867" s="664"/>
      <c r="H867" s="664"/>
      <c r="I867" s="664"/>
      <c r="J867" s="727"/>
      <c r="K867" s="664"/>
      <c r="L867" s="666"/>
    </row>
    <row r="868" spans="1:12" hidden="1" outlineLevel="1" x14ac:dyDescent="0.35">
      <c r="A868" s="483"/>
      <c r="B868" s="762" t="s">
        <v>1923</v>
      </c>
      <c r="C868" s="664" t="s">
        <v>332</v>
      </c>
      <c r="D868" s="664"/>
      <c r="E868" s="664"/>
      <c r="F868" s="665"/>
      <c r="G868" s="664"/>
      <c r="H868" s="664"/>
      <c r="I868" s="664"/>
      <c r="J868" s="727"/>
      <c r="K868" s="664"/>
      <c r="L868" s="666"/>
    </row>
    <row r="869" spans="1:12" hidden="1" outlineLevel="1" x14ac:dyDescent="0.35">
      <c r="A869" s="483"/>
      <c r="B869" s="762" t="s">
        <v>1923</v>
      </c>
      <c r="C869" s="664" t="s">
        <v>333</v>
      </c>
      <c r="D869" s="664"/>
      <c r="E869" s="664"/>
      <c r="F869" s="665"/>
      <c r="G869" s="664"/>
      <c r="H869" s="664"/>
      <c r="I869" s="664"/>
      <c r="J869" s="727"/>
      <c r="K869" s="664"/>
      <c r="L869" s="666"/>
    </row>
    <row r="870" spans="1:12" hidden="1" outlineLevel="1" x14ac:dyDescent="0.35">
      <c r="A870" s="483"/>
      <c r="B870" s="762" t="s">
        <v>1923</v>
      </c>
      <c r="C870" s="664" t="s">
        <v>334</v>
      </c>
      <c r="D870" s="664"/>
      <c r="E870" s="664"/>
      <c r="F870" s="665"/>
      <c r="G870" s="664"/>
      <c r="H870" s="664"/>
      <c r="I870" s="664"/>
      <c r="J870" s="727"/>
      <c r="K870" s="664"/>
      <c r="L870" s="666"/>
    </row>
    <row r="871" spans="1:12" hidden="1" outlineLevel="1" x14ac:dyDescent="0.35">
      <c r="A871" s="483"/>
      <c r="B871" s="762" t="s">
        <v>1923</v>
      </c>
      <c r="C871" s="664" t="s">
        <v>335</v>
      </c>
      <c r="D871" s="664"/>
      <c r="E871" s="664"/>
      <c r="F871" s="665"/>
      <c r="G871" s="664"/>
      <c r="H871" s="664"/>
      <c r="I871" s="664"/>
      <c r="J871" s="727"/>
      <c r="K871" s="664"/>
      <c r="L871" s="666"/>
    </row>
    <row r="872" spans="1:12" hidden="1" outlineLevel="1" x14ac:dyDescent="0.35">
      <c r="A872" s="483"/>
      <c r="B872" s="762" t="s">
        <v>1923</v>
      </c>
      <c r="C872" s="664" t="s">
        <v>336</v>
      </c>
      <c r="D872" s="664"/>
      <c r="E872" s="664"/>
      <c r="F872" s="665"/>
      <c r="G872" s="664"/>
      <c r="H872" s="664"/>
      <c r="I872" s="664"/>
      <c r="J872" s="727"/>
      <c r="K872" s="664"/>
      <c r="L872" s="666"/>
    </row>
    <row r="873" spans="1:12" hidden="1" outlineLevel="1" x14ac:dyDescent="0.35">
      <c r="A873" s="483"/>
      <c r="B873" s="762" t="s">
        <v>1923</v>
      </c>
      <c r="C873" s="664" t="s">
        <v>337</v>
      </c>
      <c r="D873" s="664"/>
      <c r="E873" s="664"/>
      <c r="F873" s="665"/>
      <c r="G873" s="664"/>
      <c r="H873" s="664"/>
      <c r="I873" s="664"/>
      <c r="J873" s="727"/>
      <c r="K873" s="664"/>
      <c r="L873" s="666"/>
    </row>
    <row r="874" spans="1:12" hidden="1" outlineLevel="1" x14ac:dyDescent="0.35">
      <c r="A874" s="483"/>
      <c r="B874" s="762" t="s">
        <v>1923</v>
      </c>
      <c r="C874" s="664" t="s">
        <v>338</v>
      </c>
      <c r="D874" s="664"/>
      <c r="E874" s="664"/>
      <c r="F874" s="665"/>
      <c r="G874" s="664"/>
      <c r="H874" s="664"/>
      <c r="I874" s="664"/>
      <c r="J874" s="727"/>
      <c r="K874" s="664"/>
      <c r="L874" s="666"/>
    </row>
    <row r="875" spans="1:12" hidden="1" outlineLevel="1" x14ac:dyDescent="0.35">
      <c r="A875" s="483"/>
      <c r="B875" s="762" t="s">
        <v>1923</v>
      </c>
      <c r="C875" s="664" t="s">
        <v>339</v>
      </c>
      <c r="D875" s="664"/>
      <c r="E875" s="664"/>
      <c r="F875" s="665"/>
      <c r="G875" s="664"/>
      <c r="H875" s="664"/>
      <c r="I875" s="664"/>
      <c r="J875" s="727"/>
      <c r="K875" s="664"/>
      <c r="L875" s="666"/>
    </row>
    <row r="876" spans="1:12" hidden="1" outlineLevel="1" x14ac:dyDescent="0.35">
      <c r="A876" s="483"/>
      <c r="B876" s="762" t="s">
        <v>1923</v>
      </c>
      <c r="C876" s="664" t="s">
        <v>340</v>
      </c>
      <c r="D876" s="664"/>
      <c r="E876" s="664"/>
      <c r="F876" s="665"/>
      <c r="G876" s="664"/>
      <c r="H876" s="664"/>
      <c r="I876" s="664"/>
      <c r="J876" s="727"/>
      <c r="K876" s="664"/>
      <c r="L876" s="666"/>
    </row>
    <row r="877" spans="1:12" hidden="1" outlineLevel="1" x14ac:dyDescent="0.35">
      <c r="A877" s="483"/>
      <c r="B877" s="762" t="s">
        <v>1923</v>
      </c>
      <c r="C877" s="664" t="s">
        <v>341</v>
      </c>
      <c r="D877" s="664"/>
      <c r="E877" s="664"/>
      <c r="F877" s="665"/>
      <c r="G877" s="664"/>
      <c r="H877" s="664"/>
      <c r="I877" s="664"/>
      <c r="J877" s="727"/>
      <c r="K877" s="664"/>
      <c r="L877" s="666"/>
    </row>
    <row r="878" spans="1:12" hidden="1" outlineLevel="1" x14ac:dyDescent="0.35">
      <c r="A878" s="483"/>
      <c r="B878" s="762" t="s">
        <v>1923</v>
      </c>
      <c r="C878" s="664" t="s">
        <v>342</v>
      </c>
      <c r="D878" s="664"/>
      <c r="E878" s="664"/>
      <c r="F878" s="665"/>
      <c r="G878" s="664"/>
      <c r="H878" s="664"/>
      <c r="I878" s="664"/>
      <c r="J878" s="727"/>
      <c r="K878" s="664"/>
      <c r="L878" s="666"/>
    </row>
    <row r="879" spans="1:12" hidden="1" outlineLevel="1" x14ac:dyDescent="0.35">
      <c r="A879" s="483"/>
      <c r="B879" s="762" t="s">
        <v>1923</v>
      </c>
      <c r="C879" s="664" t="s">
        <v>343</v>
      </c>
      <c r="D879" s="664"/>
      <c r="E879" s="664"/>
      <c r="F879" s="665"/>
      <c r="G879" s="664"/>
      <c r="H879" s="664"/>
      <c r="I879" s="664"/>
      <c r="J879" s="727"/>
      <c r="K879" s="664"/>
      <c r="L879" s="666"/>
    </row>
    <row r="880" spans="1:12" hidden="1" outlineLevel="1" x14ac:dyDescent="0.35">
      <c r="A880" s="483"/>
      <c r="B880" s="762" t="s">
        <v>1923</v>
      </c>
      <c r="C880" s="664" t="s">
        <v>344</v>
      </c>
      <c r="D880" s="664"/>
      <c r="E880" s="664"/>
      <c r="F880" s="665"/>
      <c r="G880" s="664"/>
      <c r="H880" s="664"/>
      <c r="I880" s="664"/>
      <c r="J880" s="727"/>
      <c r="K880" s="664"/>
      <c r="L880" s="666"/>
    </row>
    <row r="881" spans="1:12" hidden="1" outlineLevel="1" x14ac:dyDescent="0.35">
      <c r="A881" s="483"/>
      <c r="B881" s="762" t="s">
        <v>1923</v>
      </c>
      <c r="C881" s="664" t="s">
        <v>345</v>
      </c>
      <c r="D881" s="664"/>
      <c r="E881" s="664"/>
      <c r="F881" s="665"/>
      <c r="G881" s="664"/>
      <c r="H881" s="664"/>
      <c r="I881" s="664"/>
      <c r="J881" s="727"/>
      <c r="K881" s="664"/>
      <c r="L881" s="666"/>
    </row>
    <row r="882" spans="1:12" hidden="1" outlineLevel="1" x14ac:dyDescent="0.35">
      <c r="A882" s="483"/>
      <c r="B882" s="762" t="s">
        <v>1923</v>
      </c>
      <c r="C882" s="664" t="s">
        <v>346</v>
      </c>
      <c r="D882" s="664"/>
      <c r="E882" s="664"/>
      <c r="F882" s="665"/>
      <c r="G882" s="664"/>
      <c r="H882" s="664"/>
      <c r="I882" s="664"/>
      <c r="J882" s="727"/>
      <c r="K882" s="664"/>
      <c r="L882" s="666"/>
    </row>
    <row r="883" spans="1:12" hidden="1" outlineLevel="1" x14ac:dyDescent="0.35">
      <c r="A883" s="483"/>
      <c r="B883" s="762" t="s">
        <v>1923</v>
      </c>
      <c r="C883" s="664" t="s">
        <v>347</v>
      </c>
      <c r="D883" s="664"/>
      <c r="E883" s="664"/>
      <c r="F883" s="665"/>
      <c r="G883" s="664"/>
      <c r="H883" s="664"/>
      <c r="I883" s="664"/>
      <c r="J883" s="727"/>
      <c r="K883" s="664"/>
      <c r="L883" s="666"/>
    </row>
    <row r="884" spans="1:12" hidden="1" outlineLevel="1" x14ac:dyDescent="0.35">
      <c r="A884" s="483"/>
      <c r="B884" s="762" t="s">
        <v>1923</v>
      </c>
      <c r="C884" s="664" t="s">
        <v>348</v>
      </c>
      <c r="D884" s="664"/>
      <c r="E884" s="664"/>
      <c r="F884" s="665"/>
      <c r="G884" s="664"/>
      <c r="H884" s="664"/>
      <c r="I884" s="664"/>
      <c r="J884" s="727"/>
      <c r="K884" s="664"/>
      <c r="L884" s="666"/>
    </row>
    <row r="885" spans="1:12" hidden="1" outlineLevel="1" x14ac:dyDescent="0.35">
      <c r="A885" s="483"/>
      <c r="B885" s="762" t="s">
        <v>1923</v>
      </c>
      <c r="C885" s="664" t="s">
        <v>349</v>
      </c>
      <c r="D885" s="664"/>
      <c r="E885" s="664"/>
      <c r="F885" s="665"/>
      <c r="G885" s="664"/>
      <c r="H885" s="664"/>
      <c r="I885" s="664"/>
      <c r="J885" s="727"/>
      <c r="K885" s="664"/>
      <c r="L885" s="666"/>
    </row>
    <row r="886" spans="1:12" hidden="1" outlineLevel="1" x14ac:dyDescent="0.35">
      <c r="A886" s="483"/>
      <c r="B886" s="762" t="s">
        <v>1923</v>
      </c>
      <c r="C886" s="664" t="s">
        <v>350</v>
      </c>
      <c r="D886" s="664"/>
      <c r="E886" s="664"/>
      <c r="F886" s="665"/>
      <c r="G886" s="664"/>
      <c r="H886" s="664"/>
      <c r="I886" s="664"/>
      <c r="J886" s="727"/>
      <c r="K886" s="664"/>
      <c r="L886" s="666"/>
    </row>
    <row r="887" spans="1:12" hidden="1" outlineLevel="1" x14ac:dyDescent="0.35">
      <c r="A887" s="483"/>
      <c r="B887" s="762" t="s">
        <v>1923</v>
      </c>
      <c r="C887" s="664" t="s">
        <v>351</v>
      </c>
      <c r="D887" s="664"/>
      <c r="E887" s="664"/>
      <c r="F887" s="665"/>
      <c r="G887" s="664"/>
      <c r="H887" s="664"/>
      <c r="I887" s="664"/>
      <c r="J887" s="727"/>
      <c r="K887" s="664"/>
      <c r="L887" s="666"/>
    </row>
    <row r="888" spans="1:12" hidden="1" outlineLevel="1" x14ac:dyDescent="0.35">
      <c r="A888" s="483"/>
      <c r="B888" s="762" t="s">
        <v>1923</v>
      </c>
      <c r="C888" s="664" t="s">
        <v>352</v>
      </c>
      <c r="D888" s="664"/>
      <c r="E888" s="664"/>
      <c r="F888" s="665"/>
      <c r="G888" s="664"/>
      <c r="H888" s="664"/>
      <c r="I888" s="664"/>
      <c r="J888" s="727"/>
      <c r="K888" s="664"/>
      <c r="L888" s="666"/>
    </row>
    <row r="889" spans="1:12" hidden="1" outlineLevel="1" x14ac:dyDescent="0.35">
      <c r="A889" s="483"/>
      <c r="B889" s="762" t="s">
        <v>1923</v>
      </c>
      <c r="C889" s="664" t="s">
        <v>353</v>
      </c>
      <c r="D889" s="664"/>
      <c r="E889" s="664"/>
      <c r="F889" s="665"/>
      <c r="G889" s="664"/>
      <c r="H889" s="664"/>
      <c r="I889" s="664"/>
      <c r="J889" s="727"/>
      <c r="K889" s="664"/>
      <c r="L889" s="666"/>
    </row>
    <row r="890" spans="1:12" hidden="1" outlineLevel="1" x14ac:dyDescent="0.35">
      <c r="A890" s="483"/>
      <c r="B890" s="762" t="s">
        <v>1923</v>
      </c>
      <c r="C890" s="664" t="s">
        <v>354</v>
      </c>
      <c r="D890" s="664"/>
      <c r="E890" s="664"/>
      <c r="F890" s="665"/>
      <c r="G890" s="664"/>
      <c r="H890" s="664"/>
      <c r="I890" s="664"/>
      <c r="J890" s="727"/>
      <c r="K890" s="664"/>
      <c r="L890" s="666"/>
    </row>
    <row r="891" spans="1:12" hidden="1" outlineLevel="1" x14ac:dyDescent="0.35">
      <c r="A891" s="483"/>
      <c r="B891" s="762" t="s">
        <v>1923</v>
      </c>
      <c r="C891" s="664" t="s">
        <v>355</v>
      </c>
      <c r="D891" s="664"/>
      <c r="E891" s="664"/>
      <c r="F891" s="665"/>
      <c r="G891" s="664"/>
      <c r="H891" s="664"/>
      <c r="I891" s="664"/>
      <c r="J891" s="727"/>
      <c r="K891" s="664"/>
      <c r="L891" s="666"/>
    </row>
    <row r="892" spans="1:12" hidden="1" outlineLevel="1" x14ac:dyDescent="0.35">
      <c r="A892" s="483"/>
      <c r="B892" s="762" t="s">
        <v>1923</v>
      </c>
      <c r="C892" s="664" t="s">
        <v>356</v>
      </c>
      <c r="D892" s="664"/>
      <c r="E892" s="664"/>
      <c r="F892" s="665"/>
      <c r="G892" s="664"/>
      <c r="H892" s="664"/>
      <c r="I892" s="664"/>
      <c r="J892" s="727"/>
      <c r="K892" s="664"/>
      <c r="L892" s="666"/>
    </row>
    <row r="893" spans="1:12" hidden="1" outlineLevel="1" x14ac:dyDescent="0.35">
      <c r="A893" s="483"/>
      <c r="B893" s="762" t="s">
        <v>1923</v>
      </c>
      <c r="C893" s="664" t="s">
        <v>357</v>
      </c>
      <c r="D893" s="664"/>
      <c r="E893" s="664"/>
      <c r="F893" s="665"/>
      <c r="G893" s="664"/>
      <c r="H893" s="664"/>
      <c r="I893" s="664"/>
      <c r="J893" s="727"/>
      <c r="K893" s="664"/>
      <c r="L893" s="666"/>
    </row>
    <row r="894" spans="1:12" hidden="1" outlineLevel="1" x14ac:dyDescent="0.35">
      <c r="A894" s="483"/>
      <c r="B894" s="762" t="s">
        <v>1923</v>
      </c>
      <c r="C894" s="664" t="s">
        <v>358</v>
      </c>
      <c r="D894" s="664"/>
      <c r="E894" s="664"/>
      <c r="F894" s="665"/>
      <c r="G894" s="664"/>
      <c r="H894" s="664"/>
      <c r="I894" s="664"/>
      <c r="J894" s="727"/>
      <c r="K894" s="664"/>
      <c r="L894" s="666"/>
    </row>
    <row r="895" spans="1:12" hidden="1" outlineLevel="1" x14ac:dyDescent="0.35">
      <c r="A895" s="483"/>
      <c r="B895" s="762" t="s">
        <v>1923</v>
      </c>
      <c r="C895" s="664" t="s">
        <v>359</v>
      </c>
      <c r="D895" s="664"/>
      <c r="E895" s="664"/>
      <c r="F895" s="665"/>
      <c r="G895" s="664"/>
      <c r="H895" s="664"/>
      <c r="I895" s="664"/>
      <c r="J895" s="727"/>
      <c r="K895" s="664"/>
      <c r="L895" s="666"/>
    </row>
    <row r="896" spans="1:12" hidden="1" outlineLevel="1" x14ac:dyDescent="0.35">
      <c r="A896" s="483"/>
      <c r="B896" s="762" t="s">
        <v>1923</v>
      </c>
      <c r="C896" s="664" t="s">
        <v>360</v>
      </c>
      <c r="D896" s="664"/>
      <c r="E896" s="664"/>
      <c r="F896" s="665"/>
      <c r="G896" s="664"/>
      <c r="H896" s="664"/>
      <c r="I896" s="664"/>
      <c r="J896" s="727"/>
      <c r="K896" s="664"/>
      <c r="L896" s="666"/>
    </row>
    <row r="897" spans="1:12" hidden="1" outlineLevel="1" x14ac:dyDescent="0.35">
      <c r="A897" s="483"/>
      <c r="B897" s="762" t="s">
        <v>1923</v>
      </c>
      <c r="C897" s="664" t="s">
        <v>361</v>
      </c>
      <c r="D897" s="664"/>
      <c r="E897" s="664"/>
      <c r="F897" s="665"/>
      <c r="G897" s="664"/>
      <c r="H897" s="664"/>
      <c r="I897" s="664"/>
      <c r="J897" s="727"/>
      <c r="K897" s="664"/>
      <c r="L897" s="666"/>
    </row>
    <row r="898" spans="1:12" hidden="1" outlineLevel="1" x14ac:dyDescent="0.35">
      <c r="A898" s="483"/>
      <c r="B898" s="762" t="s">
        <v>1923</v>
      </c>
      <c r="C898" s="664" t="s">
        <v>362</v>
      </c>
      <c r="D898" s="664"/>
      <c r="E898" s="664"/>
      <c r="F898" s="665"/>
      <c r="G898" s="664"/>
      <c r="H898" s="664"/>
      <c r="I898" s="664"/>
      <c r="J898" s="727"/>
      <c r="K898" s="664"/>
      <c r="L898" s="666"/>
    </row>
    <row r="899" spans="1:12" hidden="1" outlineLevel="1" x14ac:dyDescent="0.35">
      <c r="A899" s="483"/>
      <c r="B899" s="762" t="s">
        <v>1923</v>
      </c>
      <c r="C899" s="664" t="s">
        <v>363</v>
      </c>
      <c r="D899" s="664"/>
      <c r="E899" s="664"/>
      <c r="F899" s="665"/>
      <c r="G899" s="664"/>
      <c r="H899" s="664"/>
      <c r="I899" s="664"/>
      <c r="J899" s="727"/>
      <c r="K899" s="664"/>
      <c r="L899" s="666"/>
    </row>
    <row r="900" spans="1:12" hidden="1" outlineLevel="1" x14ac:dyDescent="0.35">
      <c r="A900" s="483"/>
      <c r="B900" s="762" t="s">
        <v>1923</v>
      </c>
      <c r="C900" s="664" t="s">
        <v>364</v>
      </c>
      <c r="D900" s="664"/>
      <c r="E900" s="664"/>
      <c r="F900" s="665"/>
      <c r="G900" s="664"/>
      <c r="H900" s="664"/>
      <c r="I900" s="664"/>
      <c r="J900" s="727"/>
      <c r="K900" s="664"/>
      <c r="L900" s="666"/>
    </row>
    <row r="901" spans="1:12" hidden="1" outlineLevel="1" x14ac:dyDescent="0.35">
      <c r="A901" s="483"/>
      <c r="B901" s="762" t="s">
        <v>1923</v>
      </c>
      <c r="C901" s="664" t="s">
        <v>365</v>
      </c>
      <c r="D901" s="664"/>
      <c r="E901" s="664"/>
      <c r="F901" s="665"/>
      <c r="G901" s="664"/>
      <c r="H901" s="664"/>
      <c r="I901" s="664"/>
      <c r="J901" s="727"/>
      <c r="K901" s="664"/>
      <c r="L901" s="666"/>
    </row>
    <row r="902" spans="1:12" hidden="1" outlineLevel="1" x14ac:dyDescent="0.35">
      <c r="A902" s="483"/>
      <c r="B902" s="762" t="s">
        <v>1923</v>
      </c>
      <c r="C902" s="664" t="s">
        <v>366</v>
      </c>
      <c r="D902" s="664"/>
      <c r="E902" s="664"/>
      <c r="F902" s="665"/>
      <c r="G902" s="664"/>
      <c r="H902" s="664"/>
      <c r="I902" s="664"/>
      <c r="J902" s="727"/>
      <c r="K902" s="664"/>
      <c r="L902" s="666"/>
    </row>
    <row r="903" spans="1:12" hidden="1" outlineLevel="1" x14ac:dyDescent="0.35">
      <c r="A903" s="483"/>
      <c r="B903" s="762" t="s">
        <v>1923</v>
      </c>
      <c r="C903" s="664" t="s">
        <v>367</v>
      </c>
      <c r="D903" s="664"/>
      <c r="E903" s="664"/>
      <c r="F903" s="665"/>
      <c r="G903" s="664"/>
      <c r="H903" s="664"/>
      <c r="I903" s="664"/>
      <c r="J903" s="727"/>
      <c r="K903" s="664"/>
      <c r="L903" s="666"/>
    </row>
    <row r="904" spans="1:12" hidden="1" outlineLevel="1" x14ac:dyDescent="0.35">
      <c r="A904" s="483"/>
      <c r="B904" s="762" t="s">
        <v>1923</v>
      </c>
      <c r="C904" s="664" t="s">
        <v>368</v>
      </c>
      <c r="D904" s="664"/>
      <c r="E904" s="664"/>
      <c r="F904" s="665"/>
      <c r="G904" s="664"/>
      <c r="H904" s="664"/>
      <c r="I904" s="664"/>
      <c r="J904" s="727"/>
      <c r="K904" s="664"/>
      <c r="L904" s="666"/>
    </row>
    <row r="905" spans="1:12" hidden="1" outlineLevel="1" x14ac:dyDescent="0.35">
      <c r="A905" s="483"/>
      <c r="B905" s="762" t="s">
        <v>1923</v>
      </c>
      <c r="C905" s="664" t="s">
        <v>369</v>
      </c>
      <c r="D905" s="664"/>
      <c r="E905" s="664"/>
      <c r="F905" s="665"/>
      <c r="G905" s="664"/>
      <c r="H905" s="664"/>
      <c r="I905" s="664"/>
      <c r="J905" s="727"/>
      <c r="K905" s="664"/>
      <c r="L905" s="666"/>
    </row>
    <row r="906" spans="1:12" hidden="1" outlineLevel="1" x14ac:dyDescent="0.35">
      <c r="A906" s="483"/>
      <c r="B906" s="762" t="s">
        <v>1923</v>
      </c>
      <c r="C906" s="664" t="s">
        <v>370</v>
      </c>
      <c r="D906" s="664"/>
      <c r="E906" s="664"/>
      <c r="F906" s="665"/>
      <c r="G906" s="664"/>
      <c r="H906" s="664"/>
      <c r="I906" s="664"/>
      <c r="J906" s="727"/>
      <c r="K906" s="664"/>
      <c r="L906" s="666"/>
    </row>
    <row r="907" spans="1:12" hidden="1" outlineLevel="1" x14ac:dyDescent="0.35">
      <c r="A907" s="483"/>
      <c r="B907" s="762" t="s">
        <v>1923</v>
      </c>
      <c r="C907" s="664" t="s">
        <v>371</v>
      </c>
      <c r="D907" s="664"/>
      <c r="E907" s="664"/>
      <c r="F907" s="665"/>
      <c r="G907" s="664"/>
      <c r="H907" s="664"/>
      <c r="I907" s="664"/>
      <c r="J907" s="727"/>
      <c r="K907" s="664"/>
      <c r="L907" s="666"/>
    </row>
    <row r="908" spans="1:12" hidden="1" outlineLevel="1" x14ac:dyDescent="0.35">
      <c r="A908" s="483"/>
      <c r="B908" s="762" t="s">
        <v>1923</v>
      </c>
      <c r="C908" s="664" t="s">
        <v>372</v>
      </c>
      <c r="D908" s="664"/>
      <c r="E908" s="664"/>
      <c r="F908" s="665"/>
      <c r="G908" s="664"/>
      <c r="H908" s="664"/>
      <c r="I908" s="664"/>
      <c r="J908" s="727"/>
      <c r="K908" s="664"/>
      <c r="L908" s="666"/>
    </row>
    <row r="909" spans="1:12" hidden="1" outlineLevel="1" x14ac:dyDescent="0.35">
      <c r="A909" s="483"/>
      <c r="B909" s="762" t="s">
        <v>1923</v>
      </c>
      <c r="C909" s="664" t="s">
        <v>373</v>
      </c>
      <c r="D909" s="664"/>
      <c r="E909" s="664"/>
      <c r="F909" s="665"/>
      <c r="G909" s="664"/>
      <c r="H909" s="664"/>
      <c r="I909" s="664"/>
      <c r="J909" s="727"/>
      <c r="K909" s="664"/>
      <c r="L909" s="666"/>
    </row>
    <row r="910" spans="1:12" hidden="1" outlineLevel="1" x14ac:dyDescent="0.35">
      <c r="A910" s="483"/>
      <c r="B910" s="762" t="s">
        <v>1923</v>
      </c>
      <c r="C910" s="664" t="s">
        <v>374</v>
      </c>
      <c r="D910" s="664"/>
      <c r="E910" s="664"/>
      <c r="F910" s="665"/>
      <c r="G910" s="664"/>
      <c r="H910" s="664"/>
      <c r="I910" s="664"/>
      <c r="J910" s="727"/>
      <c r="K910" s="664"/>
      <c r="L910" s="666"/>
    </row>
    <row r="911" spans="1:12" hidden="1" outlineLevel="1" x14ac:dyDescent="0.35">
      <c r="A911" s="483"/>
      <c r="B911" s="762" t="s">
        <v>1923</v>
      </c>
      <c r="C911" s="664" t="s">
        <v>375</v>
      </c>
      <c r="D911" s="664"/>
      <c r="E911" s="664"/>
      <c r="F911" s="665"/>
      <c r="G911" s="664"/>
      <c r="H911" s="664"/>
      <c r="I911" s="664"/>
      <c r="J911" s="727"/>
      <c r="K911" s="664"/>
      <c r="L911" s="666"/>
    </row>
    <row r="912" spans="1:12" hidden="1" outlineLevel="1" x14ac:dyDescent="0.35">
      <c r="A912" s="483"/>
      <c r="B912" s="762" t="s">
        <v>1923</v>
      </c>
      <c r="C912" s="664" t="s">
        <v>376</v>
      </c>
      <c r="D912" s="664"/>
      <c r="E912" s="664"/>
      <c r="F912" s="665"/>
      <c r="G912" s="664"/>
      <c r="H912" s="664"/>
      <c r="I912" s="664"/>
      <c r="J912" s="727"/>
      <c r="K912" s="664"/>
      <c r="L912" s="666"/>
    </row>
    <row r="913" spans="1:12" hidden="1" outlineLevel="1" x14ac:dyDescent="0.35">
      <c r="A913" s="483"/>
      <c r="B913" s="762" t="s">
        <v>1923</v>
      </c>
      <c r="C913" s="664" t="s">
        <v>377</v>
      </c>
      <c r="D913" s="664"/>
      <c r="E913" s="664"/>
      <c r="F913" s="665"/>
      <c r="G913" s="664"/>
      <c r="H913" s="664"/>
      <c r="I913" s="664"/>
      <c r="J913" s="727"/>
      <c r="K913" s="664"/>
      <c r="L913" s="666"/>
    </row>
    <row r="914" spans="1:12" hidden="1" outlineLevel="1" x14ac:dyDescent="0.35">
      <c r="A914" s="483"/>
      <c r="B914" s="762" t="s">
        <v>1923</v>
      </c>
      <c r="C914" s="664" t="s">
        <v>378</v>
      </c>
      <c r="D914" s="664"/>
      <c r="E914" s="664"/>
      <c r="F914" s="665"/>
      <c r="G914" s="664"/>
      <c r="H914" s="664"/>
      <c r="I914" s="664"/>
      <c r="J914" s="727"/>
      <c r="K914" s="664"/>
      <c r="L914" s="666"/>
    </row>
    <row r="915" spans="1:12" hidden="1" outlineLevel="1" x14ac:dyDescent="0.35">
      <c r="A915" s="483"/>
      <c r="B915" s="762" t="s">
        <v>1923</v>
      </c>
      <c r="C915" s="664" t="s">
        <v>379</v>
      </c>
      <c r="D915" s="664"/>
      <c r="E915" s="664"/>
      <c r="F915" s="665"/>
      <c r="G915" s="664"/>
      <c r="H915" s="664"/>
      <c r="I915" s="664"/>
      <c r="J915" s="727"/>
      <c r="K915" s="664"/>
      <c r="L915" s="666"/>
    </row>
    <row r="916" spans="1:12" hidden="1" outlineLevel="1" x14ac:dyDescent="0.35">
      <c r="A916" s="483"/>
      <c r="B916" s="762" t="s">
        <v>1923</v>
      </c>
      <c r="C916" s="664" t="s">
        <v>380</v>
      </c>
      <c r="D916" s="664"/>
      <c r="E916" s="664"/>
      <c r="F916" s="665"/>
      <c r="G916" s="664"/>
      <c r="H916" s="664"/>
      <c r="I916" s="664"/>
      <c r="J916" s="727"/>
      <c r="K916" s="664"/>
      <c r="L916" s="666"/>
    </row>
    <row r="917" spans="1:12" hidden="1" outlineLevel="1" x14ac:dyDescent="0.35">
      <c r="A917" s="483"/>
      <c r="B917" s="762" t="s">
        <v>1923</v>
      </c>
      <c r="C917" s="664" t="s">
        <v>381</v>
      </c>
      <c r="D917" s="664"/>
      <c r="E917" s="664"/>
      <c r="F917" s="665"/>
      <c r="G917" s="664"/>
      <c r="H917" s="664"/>
      <c r="I917" s="664"/>
      <c r="J917" s="727"/>
      <c r="K917" s="664"/>
      <c r="L917" s="666"/>
    </row>
    <row r="918" spans="1:12" hidden="1" outlineLevel="1" x14ac:dyDescent="0.35">
      <c r="A918" s="483"/>
      <c r="B918" s="762" t="s">
        <v>1923</v>
      </c>
      <c r="C918" s="664" t="s">
        <v>382</v>
      </c>
      <c r="D918" s="664"/>
      <c r="E918" s="664"/>
      <c r="F918" s="665"/>
      <c r="G918" s="664"/>
      <c r="H918" s="664"/>
      <c r="I918" s="664"/>
      <c r="J918" s="727"/>
      <c r="K918" s="664"/>
      <c r="L918" s="666"/>
    </row>
    <row r="919" spans="1:12" hidden="1" outlineLevel="1" x14ac:dyDescent="0.35">
      <c r="A919" s="483"/>
      <c r="B919" s="762" t="s">
        <v>1923</v>
      </c>
      <c r="C919" s="664" t="s">
        <v>383</v>
      </c>
      <c r="D919" s="664"/>
      <c r="E919" s="664"/>
      <c r="F919" s="665"/>
      <c r="G919" s="664"/>
      <c r="H919" s="664"/>
      <c r="I919" s="664"/>
      <c r="J919" s="727"/>
      <c r="K919" s="664"/>
      <c r="L919" s="666"/>
    </row>
    <row r="920" spans="1:12" hidden="1" outlineLevel="1" x14ac:dyDescent="0.35">
      <c r="A920" s="483"/>
      <c r="B920" s="762" t="s">
        <v>1923</v>
      </c>
      <c r="C920" s="664" t="s">
        <v>384</v>
      </c>
      <c r="D920" s="664"/>
      <c r="E920" s="664"/>
      <c r="F920" s="665"/>
      <c r="G920" s="664"/>
      <c r="H920" s="664"/>
      <c r="I920" s="664"/>
      <c r="J920" s="727"/>
      <c r="K920" s="664"/>
      <c r="L920" s="666"/>
    </row>
    <row r="921" spans="1:12" hidden="1" outlineLevel="1" x14ac:dyDescent="0.35">
      <c r="A921" s="483"/>
      <c r="B921" s="762" t="s">
        <v>1923</v>
      </c>
      <c r="C921" s="664" t="s">
        <v>385</v>
      </c>
      <c r="D921" s="664"/>
      <c r="E921" s="664"/>
      <c r="F921" s="665"/>
      <c r="G921" s="664"/>
      <c r="H921" s="664"/>
      <c r="I921" s="664"/>
      <c r="J921" s="727"/>
      <c r="K921" s="664"/>
      <c r="L921" s="666"/>
    </row>
    <row r="922" spans="1:12" hidden="1" outlineLevel="1" x14ac:dyDescent="0.35">
      <c r="A922" s="483"/>
      <c r="B922" s="762" t="s">
        <v>1923</v>
      </c>
      <c r="C922" s="664" t="s">
        <v>386</v>
      </c>
      <c r="D922" s="664"/>
      <c r="E922" s="664"/>
      <c r="F922" s="665"/>
      <c r="G922" s="664"/>
      <c r="H922" s="664"/>
      <c r="I922" s="664"/>
      <c r="J922" s="727"/>
      <c r="K922" s="664"/>
      <c r="L922" s="666"/>
    </row>
    <row r="923" spans="1:12" hidden="1" outlineLevel="1" x14ac:dyDescent="0.35">
      <c r="A923" s="483"/>
      <c r="B923" s="762" t="s">
        <v>1923</v>
      </c>
      <c r="C923" s="664" t="s">
        <v>387</v>
      </c>
      <c r="D923" s="664"/>
      <c r="E923" s="664"/>
      <c r="F923" s="665"/>
      <c r="G923" s="664"/>
      <c r="H923" s="664"/>
      <c r="I923" s="664"/>
      <c r="J923" s="727"/>
      <c r="K923" s="664"/>
      <c r="L923" s="666"/>
    </row>
    <row r="924" spans="1:12" hidden="1" outlineLevel="1" x14ac:dyDescent="0.35">
      <c r="A924" s="483"/>
      <c r="B924" s="762" t="s">
        <v>1923</v>
      </c>
      <c r="C924" s="664" t="s">
        <v>388</v>
      </c>
      <c r="D924" s="664"/>
      <c r="E924" s="664"/>
      <c r="F924" s="665"/>
      <c r="G924" s="664"/>
      <c r="H924" s="664"/>
      <c r="I924" s="664"/>
      <c r="J924" s="727"/>
      <c r="K924" s="664"/>
      <c r="L924" s="666"/>
    </row>
    <row r="925" spans="1:12" hidden="1" outlineLevel="1" x14ac:dyDescent="0.35">
      <c r="A925" s="483"/>
      <c r="B925" s="762" t="s">
        <v>1923</v>
      </c>
      <c r="C925" s="664" t="s">
        <v>389</v>
      </c>
      <c r="D925" s="664"/>
      <c r="E925" s="664"/>
      <c r="F925" s="665"/>
      <c r="G925" s="664"/>
      <c r="H925" s="664"/>
      <c r="I925" s="664"/>
      <c r="J925" s="727"/>
      <c r="K925" s="664"/>
      <c r="L925" s="666"/>
    </row>
    <row r="926" spans="1:12" hidden="1" outlineLevel="1" x14ac:dyDescent="0.35">
      <c r="A926" s="483"/>
      <c r="B926" s="762" t="s">
        <v>1923</v>
      </c>
      <c r="C926" s="664" t="s">
        <v>390</v>
      </c>
      <c r="D926" s="664"/>
      <c r="E926" s="664"/>
      <c r="F926" s="665"/>
      <c r="G926" s="664"/>
      <c r="H926" s="664"/>
      <c r="I926" s="664"/>
      <c r="J926" s="727"/>
      <c r="K926" s="664"/>
      <c r="L926" s="666"/>
    </row>
    <row r="927" spans="1:12" hidden="1" outlineLevel="1" x14ac:dyDescent="0.35">
      <c r="A927" s="483"/>
      <c r="B927" s="762" t="s">
        <v>1923</v>
      </c>
      <c r="C927" s="664" t="s">
        <v>391</v>
      </c>
      <c r="D927" s="664"/>
      <c r="E927" s="664"/>
      <c r="F927" s="665"/>
      <c r="G927" s="664"/>
      <c r="H927" s="664"/>
      <c r="I927" s="664"/>
      <c r="J927" s="727"/>
      <c r="K927" s="664"/>
      <c r="L927" s="666"/>
    </row>
    <row r="928" spans="1:12" hidden="1" outlineLevel="1" x14ac:dyDescent="0.35">
      <c r="A928" s="483"/>
      <c r="B928" s="762" t="s">
        <v>1923</v>
      </c>
      <c r="C928" s="664" t="s">
        <v>392</v>
      </c>
      <c r="D928" s="664"/>
      <c r="E928" s="664"/>
      <c r="F928" s="665"/>
      <c r="G928" s="664"/>
      <c r="H928" s="664"/>
      <c r="I928" s="664"/>
      <c r="J928" s="727"/>
      <c r="K928" s="664"/>
      <c r="L928" s="666"/>
    </row>
    <row r="929" spans="1:12" hidden="1" outlineLevel="1" x14ac:dyDescent="0.35">
      <c r="A929" s="483"/>
      <c r="B929" s="762" t="s">
        <v>1923</v>
      </c>
      <c r="C929" s="664" t="s">
        <v>393</v>
      </c>
      <c r="D929" s="664"/>
      <c r="E929" s="664"/>
      <c r="F929" s="665"/>
      <c r="G929" s="664"/>
      <c r="H929" s="664"/>
      <c r="I929" s="664"/>
      <c r="J929" s="727"/>
      <c r="K929" s="664"/>
      <c r="L929" s="666"/>
    </row>
    <row r="930" spans="1:12" hidden="1" outlineLevel="1" x14ac:dyDescent="0.35">
      <c r="A930" s="483"/>
      <c r="B930" s="762" t="s">
        <v>1923</v>
      </c>
      <c r="C930" s="664" t="s">
        <v>394</v>
      </c>
      <c r="D930" s="664"/>
      <c r="E930" s="664"/>
      <c r="F930" s="665"/>
      <c r="G930" s="664"/>
      <c r="H930" s="664"/>
      <c r="I930" s="664"/>
      <c r="J930" s="727"/>
      <c r="K930" s="664"/>
      <c r="L930" s="666"/>
    </row>
    <row r="931" spans="1:12" hidden="1" outlineLevel="1" x14ac:dyDescent="0.35">
      <c r="A931" s="483"/>
      <c r="B931" s="762" t="s">
        <v>1923</v>
      </c>
      <c r="C931" s="664" t="s">
        <v>395</v>
      </c>
      <c r="D931" s="664"/>
      <c r="E931" s="664"/>
      <c r="F931" s="665"/>
      <c r="G931" s="664"/>
      <c r="H931" s="664"/>
      <c r="I931" s="664"/>
      <c r="J931" s="727"/>
      <c r="K931" s="664"/>
      <c r="L931" s="666"/>
    </row>
    <row r="932" spans="1:12" hidden="1" outlineLevel="1" x14ac:dyDescent="0.35">
      <c r="A932" s="483"/>
      <c r="B932" s="762" t="s">
        <v>1923</v>
      </c>
      <c r="C932" s="664" t="s">
        <v>396</v>
      </c>
      <c r="D932" s="664"/>
      <c r="E932" s="664"/>
      <c r="F932" s="665"/>
      <c r="G932" s="664"/>
      <c r="H932" s="664"/>
      <c r="I932" s="664"/>
      <c r="J932" s="727"/>
      <c r="K932" s="664"/>
      <c r="L932" s="666"/>
    </row>
    <row r="933" spans="1:12" hidden="1" outlineLevel="1" x14ac:dyDescent="0.35">
      <c r="A933" s="483"/>
      <c r="B933" s="762" t="s">
        <v>1923</v>
      </c>
      <c r="C933" s="664" t="s">
        <v>397</v>
      </c>
      <c r="D933" s="664"/>
      <c r="E933" s="664"/>
      <c r="F933" s="665"/>
      <c r="G933" s="664"/>
      <c r="H933" s="664"/>
      <c r="I933" s="664"/>
      <c r="J933" s="727"/>
      <c r="K933" s="664"/>
      <c r="L933" s="666"/>
    </row>
    <row r="934" spans="1:12" hidden="1" outlineLevel="1" x14ac:dyDescent="0.35">
      <c r="A934" s="483"/>
      <c r="B934" s="762" t="s">
        <v>1923</v>
      </c>
      <c r="C934" s="664" t="s">
        <v>398</v>
      </c>
      <c r="D934" s="664"/>
      <c r="E934" s="664"/>
      <c r="F934" s="665"/>
      <c r="G934" s="664"/>
      <c r="H934" s="664"/>
      <c r="I934" s="664"/>
      <c r="J934" s="727"/>
      <c r="K934" s="664"/>
      <c r="L934" s="666"/>
    </row>
    <row r="935" spans="1:12" hidden="1" outlineLevel="1" x14ac:dyDescent="0.35">
      <c r="A935" s="483"/>
      <c r="B935" s="762" t="s">
        <v>1923</v>
      </c>
      <c r="C935" s="664" t="s">
        <v>399</v>
      </c>
      <c r="D935" s="664"/>
      <c r="E935" s="664"/>
      <c r="F935" s="665"/>
      <c r="G935" s="664"/>
      <c r="H935" s="664"/>
      <c r="I935" s="664"/>
      <c r="J935" s="727"/>
      <c r="K935" s="664"/>
      <c r="L935" s="666"/>
    </row>
    <row r="936" spans="1:12" hidden="1" outlineLevel="1" x14ac:dyDescent="0.35">
      <c r="A936" s="483"/>
      <c r="B936" s="762" t="s">
        <v>1923</v>
      </c>
      <c r="C936" s="664" t="s">
        <v>400</v>
      </c>
      <c r="D936" s="664"/>
      <c r="E936" s="664"/>
      <c r="F936" s="665"/>
      <c r="G936" s="664"/>
      <c r="H936" s="664"/>
      <c r="I936" s="664"/>
      <c r="J936" s="727"/>
      <c r="K936" s="664"/>
      <c r="L936" s="666"/>
    </row>
    <row r="937" spans="1:12" hidden="1" outlineLevel="1" x14ac:dyDescent="0.35">
      <c r="A937" s="483"/>
      <c r="B937" s="762" t="s">
        <v>1923</v>
      </c>
      <c r="C937" s="664" t="s">
        <v>401</v>
      </c>
      <c r="D937" s="664"/>
      <c r="E937" s="664"/>
      <c r="F937" s="665"/>
      <c r="G937" s="664"/>
      <c r="H937" s="664"/>
      <c r="I937" s="664"/>
      <c r="J937" s="727"/>
      <c r="K937" s="664"/>
      <c r="L937" s="666"/>
    </row>
    <row r="938" spans="1:12" hidden="1" outlineLevel="1" x14ac:dyDescent="0.35">
      <c r="A938" s="483"/>
      <c r="B938" s="762" t="s">
        <v>1923</v>
      </c>
      <c r="C938" s="664" t="s">
        <v>402</v>
      </c>
      <c r="D938" s="664"/>
      <c r="E938" s="664"/>
      <c r="F938" s="665"/>
      <c r="G938" s="664"/>
      <c r="H938" s="664"/>
      <c r="I938" s="664"/>
      <c r="J938" s="727"/>
      <c r="K938" s="664"/>
      <c r="L938" s="666"/>
    </row>
    <row r="939" spans="1:12" hidden="1" outlineLevel="1" x14ac:dyDescent="0.35">
      <c r="A939" s="483"/>
      <c r="B939" s="762" t="s">
        <v>1923</v>
      </c>
      <c r="C939" s="664" t="s">
        <v>403</v>
      </c>
      <c r="D939" s="664"/>
      <c r="E939" s="664"/>
      <c r="F939" s="665"/>
      <c r="G939" s="664"/>
      <c r="H939" s="664"/>
      <c r="I939" s="664"/>
      <c r="J939" s="727"/>
      <c r="K939" s="664"/>
      <c r="L939" s="666"/>
    </row>
    <row r="940" spans="1:12" hidden="1" outlineLevel="1" x14ac:dyDescent="0.35">
      <c r="A940" s="483"/>
      <c r="B940" s="762" t="s">
        <v>1923</v>
      </c>
      <c r="C940" s="664" t="s">
        <v>404</v>
      </c>
      <c r="D940" s="664"/>
      <c r="E940" s="664"/>
      <c r="F940" s="665"/>
      <c r="G940" s="664"/>
      <c r="H940" s="664"/>
      <c r="I940" s="664"/>
      <c r="J940" s="727"/>
      <c r="K940" s="664"/>
      <c r="L940" s="666"/>
    </row>
    <row r="941" spans="1:12" hidden="1" outlineLevel="1" x14ac:dyDescent="0.35">
      <c r="A941" s="483"/>
      <c r="B941" s="762" t="s">
        <v>1923</v>
      </c>
      <c r="C941" s="664" t="s">
        <v>405</v>
      </c>
      <c r="D941" s="664"/>
      <c r="E941" s="664"/>
      <c r="F941" s="665"/>
      <c r="G941" s="664"/>
      <c r="H941" s="664"/>
      <c r="I941" s="664"/>
      <c r="J941" s="727"/>
      <c r="K941" s="664"/>
      <c r="L941" s="666"/>
    </row>
    <row r="942" spans="1:12" hidden="1" outlineLevel="1" x14ac:dyDescent="0.35">
      <c r="A942" s="483"/>
      <c r="B942" s="762" t="s">
        <v>1923</v>
      </c>
      <c r="C942" s="664" t="s">
        <v>406</v>
      </c>
      <c r="D942" s="664"/>
      <c r="E942" s="664"/>
      <c r="F942" s="665"/>
      <c r="G942" s="664"/>
      <c r="H942" s="664"/>
      <c r="I942" s="664"/>
      <c r="J942" s="727"/>
      <c r="K942" s="664"/>
      <c r="L942" s="666"/>
    </row>
    <row r="943" spans="1:12" hidden="1" outlineLevel="1" x14ac:dyDescent="0.35">
      <c r="A943" s="483"/>
      <c r="B943" s="762" t="s">
        <v>1923</v>
      </c>
      <c r="C943" s="664" t="s">
        <v>407</v>
      </c>
      <c r="D943" s="664"/>
      <c r="E943" s="664"/>
      <c r="F943" s="665"/>
      <c r="G943" s="664"/>
      <c r="H943" s="664"/>
      <c r="I943" s="664"/>
      <c r="J943" s="727"/>
      <c r="K943" s="664"/>
      <c r="L943" s="666"/>
    </row>
    <row r="944" spans="1:12" hidden="1" outlineLevel="1" x14ac:dyDescent="0.35">
      <c r="A944" s="483"/>
      <c r="B944" s="762" t="s">
        <v>1923</v>
      </c>
      <c r="C944" s="664" t="s">
        <v>408</v>
      </c>
      <c r="D944" s="664"/>
      <c r="E944" s="664"/>
      <c r="F944" s="665"/>
      <c r="G944" s="664"/>
      <c r="H944" s="664"/>
      <c r="I944" s="664"/>
      <c r="J944" s="727"/>
      <c r="K944" s="664"/>
      <c r="L944" s="666"/>
    </row>
    <row r="945" spans="1:12" hidden="1" outlineLevel="1" x14ac:dyDescent="0.35">
      <c r="A945" s="483"/>
      <c r="B945" s="762" t="s">
        <v>1923</v>
      </c>
      <c r="C945" s="664" t="s">
        <v>409</v>
      </c>
      <c r="D945" s="664"/>
      <c r="E945" s="664"/>
      <c r="F945" s="665"/>
      <c r="G945" s="664"/>
      <c r="H945" s="664"/>
      <c r="I945" s="664"/>
      <c r="J945" s="727"/>
      <c r="K945" s="664"/>
      <c r="L945" s="666"/>
    </row>
    <row r="946" spans="1:12" hidden="1" outlineLevel="1" x14ac:dyDescent="0.35">
      <c r="A946" s="483"/>
      <c r="B946" s="762" t="s">
        <v>1923</v>
      </c>
      <c r="C946" s="664" t="s">
        <v>410</v>
      </c>
      <c r="D946" s="664"/>
      <c r="E946" s="664"/>
      <c r="F946" s="665"/>
      <c r="G946" s="664"/>
      <c r="H946" s="664"/>
      <c r="I946" s="664"/>
      <c r="J946" s="727"/>
      <c r="K946" s="664"/>
      <c r="L946" s="666"/>
    </row>
    <row r="947" spans="1:12" hidden="1" outlineLevel="1" x14ac:dyDescent="0.35">
      <c r="A947" s="483"/>
      <c r="B947" s="762" t="s">
        <v>1923</v>
      </c>
      <c r="C947" s="664" t="s">
        <v>411</v>
      </c>
      <c r="D947" s="664"/>
      <c r="E947" s="664"/>
      <c r="F947" s="665"/>
      <c r="G947" s="664"/>
      <c r="H947" s="664"/>
      <c r="I947" s="664"/>
      <c r="J947" s="727"/>
      <c r="K947" s="664"/>
      <c r="L947" s="666"/>
    </row>
    <row r="948" spans="1:12" hidden="1" outlineLevel="1" x14ac:dyDescent="0.35">
      <c r="A948" s="483"/>
      <c r="B948" s="762" t="s">
        <v>1923</v>
      </c>
      <c r="C948" s="664" t="s">
        <v>412</v>
      </c>
      <c r="D948" s="664"/>
      <c r="E948" s="664"/>
      <c r="F948" s="665"/>
      <c r="G948" s="664"/>
      <c r="H948" s="664"/>
      <c r="I948" s="664"/>
      <c r="J948" s="727"/>
      <c r="K948" s="664"/>
      <c r="L948" s="666"/>
    </row>
    <row r="949" spans="1:12" hidden="1" outlineLevel="1" x14ac:dyDescent="0.35">
      <c r="A949" s="483"/>
      <c r="B949" s="762" t="s">
        <v>1923</v>
      </c>
      <c r="C949" s="664" t="s">
        <v>413</v>
      </c>
      <c r="D949" s="664"/>
      <c r="E949" s="664"/>
      <c r="F949" s="665"/>
      <c r="G949" s="664"/>
      <c r="H949" s="664"/>
      <c r="I949" s="664"/>
      <c r="J949" s="727"/>
      <c r="K949" s="664"/>
      <c r="L949" s="666"/>
    </row>
    <row r="950" spans="1:12" hidden="1" outlineLevel="1" x14ac:dyDescent="0.35">
      <c r="A950" s="483"/>
      <c r="B950" s="762" t="s">
        <v>1923</v>
      </c>
      <c r="C950" s="664" t="s">
        <v>414</v>
      </c>
      <c r="D950" s="664"/>
      <c r="E950" s="664"/>
      <c r="F950" s="665"/>
      <c r="G950" s="664"/>
      <c r="H950" s="664"/>
      <c r="I950" s="664"/>
      <c r="J950" s="727"/>
      <c r="K950" s="664"/>
      <c r="L950" s="666"/>
    </row>
    <row r="951" spans="1:12" hidden="1" outlineLevel="1" x14ac:dyDescent="0.35">
      <c r="A951" s="483"/>
      <c r="B951" s="762" t="s">
        <v>1923</v>
      </c>
      <c r="C951" s="664" t="s">
        <v>415</v>
      </c>
      <c r="D951" s="664"/>
      <c r="E951" s="664"/>
      <c r="F951" s="665"/>
      <c r="G951" s="664"/>
      <c r="H951" s="664"/>
      <c r="I951" s="664"/>
      <c r="J951" s="727"/>
      <c r="K951" s="664"/>
      <c r="L951" s="666"/>
    </row>
    <row r="952" spans="1:12" hidden="1" outlineLevel="1" x14ac:dyDescent="0.35">
      <c r="A952" s="483"/>
      <c r="B952" s="762" t="s">
        <v>1923</v>
      </c>
      <c r="C952" s="664" t="s">
        <v>416</v>
      </c>
      <c r="D952" s="664"/>
      <c r="E952" s="664"/>
      <c r="F952" s="665"/>
      <c r="G952" s="664"/>
      <c r="H952" s="664"/>
      <c r="I952" s="664"/>
      <c r="J952" s="727"/>
      <c r="K952" s="664"/>
      <c r="L952" s="666"/>
    </row>
    <row r="953" spans="1:12" hidden="1" outlineLevel="1" x14ac:dyDescent="0.35">
      <c r="A953" s="483"/>
      <c r="B953" s="762" t="s">
        <v>1923</v>
      </c>
      <c r="C953" s="664" t="s">
        <v>417</v>
      </c>
      <c r="D953" s="664"/>
      <c r="E953" s="664"/>
      <c r="F953" s="665"/>
      <c r="G953" s="664"/>
      <c r="H953" s="664"/>
      <c r="I953" s="664"/>
      <c r="J953" s="727"/>
      <c r="K953" s="664"/>
      <c r="L953" s="666"/>
    </row>
    <row r="954" spans="1:12" hidden="1" outlineLevel="1" x14ac:dyDescent="0.35">
      <c r="A954" s="483"/>
      <c r="B954" s="762" t="s">
        <v>1923</v>
      </c>
      <c r="C954" s="664" t="s">
        <v>418</v>
      </c>
      <c r="D954" s="664"/>
      <c r="E954" s="664"/>
      <c r="F954" s="665"/>
      <c r="G954" s="664"/>
      <c r="H954" s="664"/>
      <c r="I954" s="664"/>
      <c r="J954" s="727"/>
      <c r="K954" s="664"/>
      <c r="L954" s="666"/>
    </row>
    <row r="955" spans="1:12" hidden="1" outlineLevel="1" x14ac:dyDescent="0.35">
      <c r="A955" s="483"/>
      <c r="B955" s="762" t="s">
        <v>1923</v>
      </c>
      <c r="C955" s="664" t="s">
        <v>419</v>
      </c>
      <c r="D955" s="664"/>
      <c r="E955" s="664"/>
      <c r="F955" s="665"/>
      <c r="G955" s="664"/>
      <c r="H955" s="664"/>
      <c r="I955" s="664"/>
      <c r="J955" s="727"/>
      <c r="K955" s="664"/>
      <c r="L955" s="666"/>
    </row>
    <row r="956" spans="1:12" hidden="1" outlineLevel="1" x14ac:dyDescent="0.35">
      <c r="A956" s="483"/>
      <c r="B956" s="762" t="s">
        <v>1923</v>
      </c>
      <c r="C956" s="664" t="s">
        <v>420</v>
      </c>
      <c r="D956" s="664"/>
      <c r="E956" s="664"/>
      <c r="F956" s="665"/>
      <c r="G956" s="664"/>
      <c r="H956" s="664"/>
      <c r="I956" s="664"/>
      <c r="J956" s="727"/>
      <c r="K956" s="664"/>
      <c r="L956" s="666"/>
    </row>
    <row r="957" spans="1:12" hidden="1" outlineLevel="1" x14ac:dyDescent="0.35">
      <c r="A957" s="483"/>
      <c r="B957" s="762" t="s">
        <v>1923</v>
      </c>
      <c r="C957" s="664" t="s">
        <v>421</v>
      </c>
      <c r="D957" s="664"/>
      <c r="E957" s="664"/>
      <c r="F957" s="665"/>
      <c r="G957" s="664"/>
      <c r="H957" s="664"/>
      <c r="I957" s="664"/>
      <c r="J957" s="727"/>
      <c r="K957" s="664"/>
      <c r="L957" s="666"/>
    </row>
    <row r="958" spans="1:12" hidden="1" outlineLevel="1" x14ac:dyDescent="0.35">
      <c r="A958" s="483"/>
      <c r="B958" s="762" t="s">
        <v>1923</v>
      </c>
      <c r="C958" s="664" t="s">
        <v>422</v>
      </c>
      <c r="D958" s="664"/>
      <c r="E958" s="664"/>
      <c r="F958" s="665"/>
      <c r="G958" s="664"/>
      <c r="H958" s="664"/>
      <c r="I958" s="664"/>
      <c r="J958" s="727"/>
      <c r="K958" s="664"/>
      <c r="L958" s="666"/>
    </row>
    <row r="959" spans="1:12" hidden="1" outlineLevel="1" x14ac:dyDescent="0.35">
      <c r="A959" s="483"/>
      <c r="B959" s="762" t="s">
        <v>1923</v>
      </c>
      <c r="C959" s="664" t="s">
        <v>423</v>
      </c>
      <c r="D959" s="664"/>
      <c r="E959" s="664"/>
      <c r="F959" s="665"/>
      <c r="G959" s="664"/>
      <c r="H959" s="664"/>
      <c r="I959" s="664"/>
      <c r="J959" s="727"/>
      <c r="K959" s="664"/>
      <c r="L959" s="666"/>
    </row>
    <row r="960" spans="1:12" hidden="1" outlineLevel="1" x14ac:dyDescent="0.35">
      <c r="A960" s="483"/>
      <c r="B960" s="762" t="s">
        <v>1923</v>
      </c>
      <c r="C960" s="664" t="s">
        <v>424</v>
      </c>
      <c r="D960" s="664"/>
      <c r="E960" s="664"/>
      <c r="F960" s="665"/>
      <c r="G960" s="664"/>
      <c r="H960" s="664"/>
      <c r="I960" s="664"/>
      <c r="J960" s="727"/>
      <c r="K960" s="664"/>
      <c r="L960" s="666"/>
    </row>
    <row r="961" spans="1:12" hidden="1" outlineLevel="1" x14ac:dyDescent="0.35">
      <c r="A961" s="483"/>
      <c r="B961" s="762" t="s">
        <v>1923</v>
      </c>
      <c r="C961" s="664" t="s">
        <v>425</v>
      </c>
      <c r="D961" s="664"/>
      <c r="E961" s="664"/>
      <c r="F961" s="665"/>
      <c r="G961" s="664"/>
      <c r="H961" s="664"/>
      <c r="I961" s="664"/>
      <c r="J961" s="727"/>
      <c r="K961" s="664"/>
      <c r="L961" s="666"/>
    </row>
    <row r="962" spans="1:12" hidden="1" outlineLevel="1" x14ac:dyDescent="0.35">
      <c r="A962" s="483"/>
      <c r="B962" s="762" t="s">
        <v>1923</v>
      </c>
      <c r="C962" s="664" t="s">
        <v>426</v>
      </c>
      <c r="D962" s="664"/>
      <c r="E962" s="664"/>
      <c r="F962" s="665"/>
      <c r="G962" s="664"/>
      <c r="H962" s="664"/>
      <c r="I962" s="664"/>
      <c r="J962" s="727"/>
      <c r="K962" s="664"/>
      <c r="L962" s="666"/>
    </row>
    <row r="963" spans="1:12" hidden="1" outlineLevel="1" x14ac:dyDescent="0.35">
      <c r="A963" s="483"/>
      <c r="B963" s="762" t="s">
        <v>1923</v>
      </c>
      <c r="C963" s="664" t="s">
        <v>427</v>
      </c>
      <c r="D963" s="664"/>
      <c r="E963" s="664"/>
      <c r="F963" s="665"/>
      <c r="G963" s="664"/>
      <c r="H963" s="664"/>
      <c r="I963" s="664"/>
      <c r="J963" s="727"/>
      <c r="K963" s="664"/>
      <c r="L963" s="666"/>
    </row>
    <row r="964" spans="1:12" hidden="1" outlineLevel="1" x14ac:dyDescent="0.35">
      <c r="A964" s="483"/>
      <c r="B964" s="762" t="s">
        <v>1923</v>
      </c>
      <c r="C964" s="664" t="s">
        <v>428</v>
      </c>
      <c r="D964" s="664"/>
      <c r="E964" s="664"/>
      <c r="F964" s="665"/>
      <c r="G964" s="664"/>
      <c r="H964" s="664"/>
      <c r="I964" s="664"/>
      <c r="J964" s="727"/>
      <c r="K964" s="664"/>
      <c r="L964" s="666"/>
    </row>
    <row r="965" spans="1:12" hidden="1" outlineLevel="1" x14ac:dyDescent="0.35">
      <c r="A965" s="483"/>
      <c r="B965" s="762" t="s">
        <v>1923</v>
      </c>
      <c r="C965" s="664" t="s">
        <v>429</v>
      </c>
      <c r="D965" s="664"/>
      <c r="E965" s="664"/>
      <c r="F965" s="665"/>
      <c r="G965" s="664"/>
      <c r="H965" s="664"/>
      <c r="I965" s="664"/>
      <c r="J965" s="727"/>
      <c r="K965" s="664"/>
      <c r="L965" s="666"/>
    </row>
    <row r="966" spans="1:12" hidden="1" outlineLevel="1" x14ac:dyDescent="0.35">
      <c r="A966" s="483"/>
      <c r="B966" s="762" t="s">
        <v>1923</v>
      </c>
      <c r="C966" s="664" t="s">
        <v>430</v>
      </c>
      <c r="D966" s="664"/>
      <c r="E966" s="664"/>
      <c r="F966" s="665"/>
      <c r="G966" s="664"/>
      <c r="H966" s="664"/>
      <c r="I966" s="664"/>
      <c r="J966" s="727"/>
      <c r="K966" s="664"/>
      <c r="L966" s="666"/>
    </row>
    <row r="967" spans="1:12" hidden="1" outlineLevel="1" x14ac:dyDescent="0.35">
      <c r="A967" s="483"/>
      <c r="B967" s="762" t="s">
        <v>1923</v>
      </c>
      <c r="C967" s="664" t="s">
        <v>431</v>
      </c>
      <c r="D967" s="664"/>
      <c r="E967" s="664"/>
      <c r="F967" s="665"/>
      <c r="G967" s="664"/>
      <c r="H967" s="664"/>
      <c r="I967" s="664"/>
      <c r="J967" s="727"/>
      <c r="K967" s="664"/>
      <c r="L967" s="666"/>
    </row>
    <row r="968" spans="1:12" hidden="1" outlineLevel="1" x14ac:dyDescent="0.35">
      <c r="A968" s="483"/>
      <c r="B968" s="762" t="s">
        <v>1923</v>
      </c>
      <c r="C968" s="664" t="s">
        <v>432</v>
      </c>
      <c r="D968" s="664"/>
      <c r="E968" s="664"/>
      <c r="F968" s="665"/>
      <c r="G968" s="664"/>
      <c r="H968" s="664"/>
      <c r="I968" s="664"/>
      <c r="J968" s="727"/>
      <c r="K968" s="664"/>
      <c r="L968" s="666"/>
    </row>
    <row r="969" spans="1:12" hidden="1" outlineLevel="1" x14ac:dyDescent="0.35">
      <c r="A969" s="483"/>
      <c r="B969" s="762" t="s">
        <v>1923</v>
      </c>
      <c r="C969" s="664" t="s">
        <v>433</v>
      </c>
      <c r="D969" s="664"/>
      <c r="E969" s="664"/>
      <c r="F969" s="665"/>
      <c r="G969" s="664"/>
      <c r="H969" s="664"/>
      <c r="I969" s="664"/>
      <c r="J969" s="727"/>
      <c r="K969" s="664"/>
      <c r="L969" s="666"/>
    </row>
    <row r="970" spans="1:12" hidden="1" outlineLevel="1" x14ac:dyDescent="0.35">
      <c r="A970" s="483"/>
      <c r="B970" s="762" t="s">
        <v>1923</v>
      </c>
      <c r="C970" s="664" t="s">
        <v>434</v>
      </c>
      <c r="D970" s="664"/>
      <c r="E970" s="664"/>
      <c r="F970" s="665"/>
      <c r="G970" s="664"/>
      <c r="H970" s="664"/>
      <c r="I970" s="664"/>
      <c r="J970" s="727"/>
      <c r="K970" s="664"/>
      <c r="L970" s="666"/>
    </row>
    <row r="971" spans="1:12" hidden="1" outlineLevel="1" x14ac:dyDescent="0.35">
      <c r="A971" s="483"/>
      <c r="B971" s="762" t="s">
        <v>1923</v>
      </c>
      <c r="C971" s="664" t="s">
        <v>435</v>
      </c>
      <c r="D971" s="664"/>
      <c r="E971" s="664"/>
      <c r="F971" s="665"/>
      <c r="G971" s="664"/>
      <c r="H971" s="664"/>
      <c r="I971" s="664"/>
      <c r="J971" s="727"/>
      <c r="K971" s="664"/>
      <c r="L971" s="666"/>
    </row>
    <row r="972" spans="1:12" hidden="1" outlineLevel="1" x14ac:dyDescent="0.35">
      <c r="A972" s="483"/>
      <c r="B972" s="762" t="s">
        <v>1923</v>
      </c>
      <c r="C972" s="664" t="s">
        <v>436</v>
      </c>
      <c r="D972" s="664"/>
      <c r="E972" s="664"/>
      <c r="F972" s="665"/>
      <c r="G972" s="664"/>
      <c r="H972" s="664"/>
      <c r="I972" s="664"/>
      <c r="J972" s="727"/>
      <c r="K972" s="664"/>
      <c r="L972" s="666"/>
    </row>
    <row r="973" spans="1:12" hidden="1" outlineLevel="1" x14ac:dyDescent="0.35">
      <c r="A973" s="483"/>
      <c r="B973" s="762" t="s">
        <v>1923</v>
      </c>
      <c r="C973" s="664" t="s">
        <v>437</v>
      </c>
      <c r="D973" s="664"/>
      <c r="E973" s="664"/>
      <c r="F973" s="665"/>
      <c r="G973" s="664"/>
      <c r="H973" s="664"/>
      <c r="I973" s="664"/>
      <c r="J973" s="727"/>
      <c r="K973" s="664"/>
      <c r="L973" s="666"/>
    </row>
    <row r="974" spans="1:12" hidden="1" outlineLevel="1" x14ac:dyDescent="0.35">
      <c r="A974" s="483"/>
      <c r="B974" s="762" t="s">
        <v>1923</v>
      </c>
      <c r="C974" s="664" t="s">
        <v>438</v>
      </c>
      <c r="D974" s="664"/>
      <c r="E974" s="664"/>
      <c r="F974" s="665"/>
      <c r="G974" s="664"/>
      <c r="H974" s="664"/>
      <c r="I974" s="664"/>
      <c r="J974" s="727"/>
      <c r="K974" s="664"/>
      <c r="L974" s="666"/>
    </row>
    <row r="975" spans="1:12" hidden="1" outlineLevel="1" x14ac:dyDescent="0.35">
      <c r="A975" s="483"/>
      <c r="B975" s="762" t="s">
        <v>1923</v>
      </c>
      <c r="C975" s="664" t="s">
        <v>439</v>
      </c>
      <c r="D975" s="664"/>
      <c r="E975" s="664"/>
      <c r="F975" s="665"/>
      <c r="G975" s="664"/>
      <c r="H975" s="664"/>
      <c r="I975" s="664"/>
      <c r="J975" s="727"/>
      <c r="K975" s="664"/>
      <c r="L975" s="666"/>
    </row>
    <row r="976" spans="1:12" hidden="1" outlineLevel="1" x14ac:dyDescent="0.35">
      <c r="A976" s="483"/>
      <c r="B976" s="762" t="s">
        <v>1923</v>
      </c>
      <c r="C976" s="664" t="s">
        <v>440</v>
      </c>
      <c r="D976" s="664"/>
      <c r="E976" s="664"/>
      <c r="F976" s="665"/>
      <c r="G976" s="664"/>
      <c r="H976" s="664"/>
      <c r="I976" s="664"/>
      <c r="J976" s="727"/>
      <c r="K976" s="664"/>
      <c r="L976" s="666"/>
    </row>
    <row r="977" spans="1:12" hidden="1" outlineLevel="1" x14ac:dyDescent="0.35">
      <c r="A977" s="483"/>
      <c r="B977" s="762" t="s">
        <v>1923</v>
      </c>
      <c r="C977" s="664" t="s">
        <v>441</v>
      </c>
      <c r="D977" s="664"/>
      <c r="E977" s="664"/>
      <c r="F977" s="665"/>
      <c r="G977" s="664"/>
      <c r="H977" s="664"/>
      <c r="I977" s="664"/>
      <c r="J977" s="727"/>
      <c r="K977" s="664"/>
      <c r="L977" s="666"/>
    </row>
    <row r="978" spans="1:12" hidden="1" outlineLevel="1" x14ac:dyDescent="0.35">
      <c r="A978" s="483"/>
      <c r="B978" s="762" t="s">
        <v>1923</v>
      </c>
      <c r="C978" s="664" t="s">
        <v>442</v>
      </c>
      <c r="D978" s="664"/>
      <c r="E978" s="664"/>
      <c r="F978" s="665"/>
      <c r="G978" s="664"/>
      <c r="H978" s="664"/>
      <c r="I978" s="664"/>
      <c r="J978" s="727"/>
      <c r="K978" s="664"/>
      <c r="L978" s="666"/>
    </row>
    <row r="979" spans="1:12" hidden="1" outlineLevel="1" x14ac:dyDescent="0.35">
      <c r="A979" s="483"/>
      <c r="B979" s="762" t="s">
        <v>1923</v>
      </c>
      <c r="C979" s="664" t="s">
        <v>443</v>
      </c>
      <c r="D979" s="664"/>
      <c r="E979" s="664"/>
      <c r="F979" s="665"/>
      <c r="G979" s="664"/>
      <c r="H979" s="664"/>
      <c r="I979" s="664"/>
      <c r="J979" s="727"/>
      <c r="K979" s="664"/>
      <c r="L979" s="666"/>
    </row>
    <row r="980" spans="1:12" hidden="1" outlineLevel="1" x14ac:dyDescent="0.35">
      <c r="A980" s="483"/>
      <c r="B980" s="762" t="s">
        <v>1923</v>
      </c>
      <c r="C980" s="664" t="s">
        <v>444</v>
      </c>
      <c r="D980" s="664"/>
      <c r="E980" s="664"/>
      <c r="F980" s="665"/>
      <c r="G980" s="664"/>
      <c r="H980" s="664"/>
      <c r="I980" s="664"/>
      <c r="J980" s="727"/>
      <c r="K980" s="664"/>
      <c r="L980" s="666"/>
    </row>
    <row r="981" spans="1:12" hidden="1" outlineLevel="1" x14ac:dyDescent="0.35">
      <c r="A981" s="483"/>
      <c r="B981" s="762" t="s">
        <v>1923</v>
      </c>
      <c r="C981" s="664" t="s">
        <v>445</v>
      </c>
      <c r="D981" s="664"/>
      <c r="E981" s="664"/>
      <c r="F981" s="665"/>
      <c r="G981" s="664"/>
      <c r="H981" s="664"/>
      <c r="I981" s="664"/>
      <c r="J981" s="727"/>
      <c r="K981" s="664"/>
      <c r="L981" s="666"/>
    </row>
    <row r="982" spans="1:12" hidden="1" outlineLevel="1" x14ac:dyDescent="0.35">
      <c r="A982" s="483"/>
      <c r="B982" s="762" t="s">
        <v>1923</v>
      </c>
      <c r="C982" s="664" t="s">
        <v>446</v>
      </c>
      <c r="D982" s="664"/>
      <c r="E982" s="664"/>
      <c r="F982" s="665"/>
      <c r="G982" s="664"/>
      <c r="H982" s="664"/>
      <c r="I982" s="664"/>
      <c r="J982" s="727"/>
      <c r="K982" s="664"/>
      <c r="L982" s="666"/>
    </row>
    <row r="983" spans="1:12" hidden="1" outlineLevel="1" x14ac:dyDescent="0.35">
      <c r="A983" s="483"/>
      <c r="B983" s="762" t="s">
        <v>1923</v>
      </c>
      <c r="C983" s="664" t="s">
        <v>447</v>
      </c>
      <c r="D983" s="664"/>
      <c r="E983" s="664"/>
      <c r="F983" s="665"/>
      <c r="G983" s="664"/>
      <c r="H983" s="664"/>
      <c r="I983" s="664"/>
      <c r="J983" s="727"/>
      <c r="K983" s="664"/>
      <c r="L983" s="666"/>
    </row>
    <row r="984" spans="1:12" hidden="1" outlineLevel="1" x14ac:dyDescent="0.35">
      <c r="A984" s="483"/>
      <c r="B984" s="762" t="s">
        <v>1923</v>
      </c>
      <c r="C984" s="664" t="s">
        <v>448</v>
      </c>
      <c r="D984" s="664"/>
      <c r="E984" s="664"/>
      <c r="F984" s="665"/>
      <c r="G984" s="664"/>
      <c r="H984" s="664"/>
      <c r="I984" s="664"/>
      <c r="J984" s="727"/>
      <c r="K984" s="664"/>
      <c r="L984" s="666"/>
    </row>
    <row r="985" spans="1:12" hidden="1" outlineLevel="1" x14ac:dyDescent="0.35">
      <c r="A985" s="483"/>
      <c r="B985" s="762" t="s">
        <v>1923</v>
      </c>
      <c r="C985" s="664" t="s">
        <v>449</v>
      </c>
      <c r="D985" s="664"/>
      <c r="E985" s="664"/>
      <c r="F985" s="665"/>
      <c r="G985" s="664"/>
      <c r="H985" s="664"/>
      <c r="I985" s="664"/>
      <c r="J985" s="727"/>
      <c r="K985" s="664"/>
      <c r="L985" s="666"/>
    </row>
    <row r="986" spans="1:12" hidden="1" outlineLevel="1" x14ac:dyDescent="0.35">
      <c r="A986" s="483"/>
      <c r="B986" s="762" t="s">
        <v>1923</v>
      </c>
      <c r="C986" s="664" t="s">
        <v>450</v>
      </c>
      <c r="D986" s="664"/>
      <c r="E986" s="664"/>
      <c r="F986" s="665"/>
      <c r="G986" s="664"/>
      <c r="H986" s="664"/>
      <c r="I986" s="664"/>
      <c r="J986" s="727"/>
      <c r="K986" s="664"/>
      <c r="L986" s="666"/>
    </row>
    <row r="987" spans="1:12" hidden="1" outlineLevel="1" x14ac:dyDescent="0.35">
      <c r="A987" s="483"/>
      <c r="B987" s="762" t="s">
        <v>1923</v>
      </c>
      <c r="C987" s="664" t="s">
        <v>451</v>
      </c>
      <c r="D987" s="664"/>
      <c r="E987" s="664"/>
      <c r="F987" s="665"/>
      <c r="G987" s="664"/>
      <c r="H987" s="664"/>
      <c r="I987" s="664"/>
      <c r="J987" s="727"/>
      <c r="K987" s="664"/>
      <c r="L987" s="666"/>
    </row>
    <row r="988" spans="1:12" hidden="1" outlineLevel="1" x14ac:dyDescent="0.35">
      <c r="A988" s="483"/>
      <c r="B988" s="762" t="s">
        <v>1923</v>
      </c>
      <c r="C988" s="664" t="s">
        <v>452</v>
      </c>
      <c r="D988" s="664"/>
      <c r="E988" s="664"/>
      <c r="F988" s="665"/>
      <c r="G988" s="664"/>
      <c r="H988" s="664"/>
      <c r="I988" s="664"/>
      <c r="J988" s="727"/>
      <c r="K988" s="664"/>
      <c r="L988" s="666"/>
    </row>
    <row r="989" spans="1:12" hidden="1" outlineLevel="1" x14ac:dyDescent="0.35">
      <c r="A989" s="483"/>
      <c r="B989" s="762" t="s">
        <v>1923</v>
      </c>
      <c r="C989" s="664" t="s">
        <v>453</v>
      </c>
      <c r="D989" s="664"/>
      <c r="E989" s="664"/>
      <c r="F989" s="665"/>
      <c r="G989" s="664"/>
      <c r="H989" s="664"/>
      <c r="I989" s="664"/>
      <c r="J989" s="727"/>
      <c r="K989" s="664"/>
      <c r="L989" s="666"/>
    </row>
    <row r="990" spans="1:12" hidden="1" outlineLevel="1" x14ac:dyDescent="0.35">
      <c r="A990" s="483"/>
      <c r="B990" s="762" t="s">
        <v>1923</v>
      </c>
      <c r="C990" s="664" t="s">
        <v>454</v>
      </c>
      <c r="D990" s="664"/>
      <c r="E990" s="664"/>
      <c r="F990" s="665"/>
      <c r="G990" s="664"/>
      <c r="H990" s="664"/>
      <c r="I990" s="664"/>
      <c r="J990" s="727"/>
      <c r="K990" s="664"/>
      <c r="L990" s="666"/>
    </row>
    <row r="991" spans="1:12" hidden="1" outlineLevel="1" x14ac:dyDescent="0.35">
      <c r="A991" s="483"/>
      <c r="B991" s="762" t="s">
        <v>1923</v>
      </c>
      <c r="C991" s="664" t="s">
        <v>455</v>
      </c>
      <c r="D991" s="664"/>
      <c r="E991" s="664"/>
      <c r="F991" s="665"/>
      <c r="G991" s="664"/>
      <c r="H991" s="664"/>
      <c r="I991" s="664"/>
      <c r="J991" s="727"/>
      <c r="K991" s="664"/>
      <c r="L991" s="666"/>
    </row>
    <row r="992" spans="1:12" hidden="1" outlineLevel="1" x14ac:dyDescent="0.35">
      <c r="A992" s="483"/>
      <c r="B992" s="762" t="s">
        <v>1923</v>
      </c>
      <c r="C992" s="664" t="s">
        <v>456</v>
      </c>
      <c r="D992" s="664"/>
      <c r="E992" s="664"/>
      <c r="F992" s="665"/>
      <c r="G992" s="664"/>
      <c r="H992" s="664"/>
      <c r="I992" s="664"/>
      <c r="J992" s="727"/>
      <c r="K992" s="664"/>
      <c r="L992" s="666"/>
    </row>
    <row r="993" spans="1:12" hidden="1" outlineLevel="1" x14ac:dyDescent="0.35">
      <c r="A993" s="483"/>
      <c r="B993" s="762" t="s">
        <v>1923</v>
      </c>
      <c r="C993" s="664" t="s">
        <v>457</v>
      </c>
      <c r="D993" s="664"/>
      <c r="E993" s="664"/>
      <c r="F993" s="665"/>
      <c r="G993" s="664"/>
      <c r="H993" s="664"/>
      <c r="I993" s="664"/>
      <c r="J993" s="727"/>
      <c r="K993" s="664"/>
      <c r="L993" s="666"/>
    </row>
    <row r="994" spans="1:12" hidden="1" outlineLevel="1" x14ac:dyDescent="0.35">
      <c r="A994" s="483"/>
      <c r="B994" s="762" t="s">
        <v>1923</v>
      </c>
      <c r="C994" s="664" t="s">
        <v>458</v>
      </c>
      <c r="D994" s="664"/>
      <c r="E994" s="664"/>
      <c r="F994" s="665"/>
      <c r="G994" s="664"/>
      <c r="H994" s="664"/>
      <c r="I994" s="664"/>
      <c r="J994" s="727"/>
      <c r="K994" s="664"/>
      <c r="L994" s="666"/>
    </row>
    <row r="995" spans="1:12" hidden="1" outlineLevel="1" x14ac:dyDescent="0.35">
      <c r="A995" s="483"/>
      <c r="B995" s="762" t="s">
        <v>1923</v>
      </c>
      <c r="C995" s="664" t="s">
        <v>459</v>
      </c>
      <c r="D995" s="664"/>
      <c r="E995" s="664"/>
      <c r="F995" s="665"/>
      <c r="G995" s="664"/>
      <c r="H995" s="664"/>
      <c r="I995" s="664"/>
      <c r="J995" s="727"/>
      <c r="K995" s="664"/>
      <c r="L995" s="666"/>
    </row>
    <row r="996" spans="1:12" hidden="1" outlineLevel="1" x14ac:dyDescent="0.35">
      <c r="A996" s="483"/>
      <c r="B996" s="762" t="s">
        <v>1923</v>
      </c>
      <c r="C996" s="664" t="s">
        <v>460</v>
      </c>
      <c r="D996" s="664"/>
      <c r="E996" s="664"/>
      <c r="F996" s="665"/>
      <c r="G996" s="664"/>
      <c r="H996" s="664"/>
      <c r="I996" s="664"/>
      <c r="J996" s="727"/>
      <c r="K996" s="664"/>
      <c r="L996" s="666"/>
    </row>
    <row r="997" spans="1:12" hidden="1" outlineLevel="1" x14ac:dyDescent="0.35">
      <c r="A997" s="483"/>
      <c r="B997" s="762" t="s">
        <v>1923</v>
      </c>
      <c r="C997" s="664" t="s">
        <v>461</v>
      </c>
      <c r="D997" s="664"/>
      <c r="E997" s="664"/>
      <c r="F997" s="665"/>
      <c r="G997" s="664"/>
      <c r="H997" s="664"/>
      <c r="I997" s="664"/>
      <c r="J997" s="727"/>
      <c r="K997" s="664"/>
      <c r="L997" s="666"/>
    </row>
    <row r="998" spans="1:12" hidden="1" outlineLevel="1" x14ac:dyDescent="0.35">
      <c r="A998" s="483"/>
      <c r="B998" s="762" t="s">
        <v>1923</v>
      </c>
      <c r="C998" s="664" t="s">
        <v>462</v>
      </c>
      <c r="D998" s="664"/>
      <c r="E998" s="664"/>
      <c r="F998" s="665"/>
      <c r="G998" s="664"/>
      <c r="H998" s="664"/>
      <c r="I998" s="664"/>
      <c r="J998" s="727"/>
      <c r="K998" s="664"/>
      <c r="L998" s="666"/>
    </row>
    <row r="999" spans="1:12" hidden="1" outlineLevel="1" x14ac:dyDescent="0.35">
      <c r="A999" s="483"/>
      <c r="B999" s="762" t="s">
        <v>1923</v>
      </c>
      <c r="C999" s="664" t="s">
        <v>463</v>
      </c>
      <c r="D999" s="664"/>
      <c r="E999" s="664"/>
      <c r="F999" s="665"/>
      <c r="G999" s="664"/>
      <c r="H999" s="664"/>
      <c r="I999" s="664"/>
      <c r="J999" s="727"/>
      <c r="K999" s="664"/>
      <c r="L999" s="666"/>
    </row>
    <row r="1000" spans="1:12" hidden="1" outlineLevel="1" x14ac:dyDescent="0.35">
      <c r="A1000" s="483"/>
      <c r="B1000" s="762" t="s">
        <v>1923</v>
      </c>
      <c r="C1000" s="664" t="s">
        <v>464</v>
      </c>
      <c r="D1000" s="664"/>
      <c r="E1000" s="664"/>
      <c r="F1000" s="665"/>
      <c r="G1000" s="664"/>
      <c r="H1000" s="664"/>
      <c r="I1000" s="664"/>
      <c r="J1000" s="727"/>
      <c r="K1000" s="664"/>
      <c r="L1000" s="666"/>
    </row>
    <row r="1001" spans="1:12" hidden="1" outlineLevel="1" x14ac:dyDescent="0.35">
      <c r="A1001" s="483"/>
      <c r="B1001" s="762" t="s">
        <v>1923</v>
      </c>
      <c r="C1001" s="664" t="s">
        <v>465</v>
      </c>
      <c r="D1001" s="664"/>
      <c r="E1001" s="664"/>
      <c r="F1001" s="665"/>
      <c r="G1001" s="664"/>
      <c r="H1001" s="664"/>
      <c r="I1001" s="664"/>
      <c r="J1001" s="727"/>
      <c r="K1001" s="664"/>
      <c r="L1001" s="666"/>
    </row>
    <row r="1002" spans="1:12" hidden="1" outlineLevel="1" x14ac:dyDescent="0.35">
      <c r="A1002" s="483"/>
      <c r="B1002" s="762" t="s">
        <v>1923</v>
      </c>
      <c r="C1002" s="664" t="s">
        <v>466</v>
      </c>
      <c r="D1002" s="664"/>
      <c r="E1002" s="664"/>
      <c r="F1002" s="665"/>
      <c r="G1002" s="664"/>
      <c r="H1002" s="664"/>
      <c r="I1002" s="664"/>
      <c r="J1002" s="727"/>
      <c r="K1002" s="664"/>
      <c r="L1002" s="666"/>
    </row>
    <row r="1003" spans="1:12" hidden="1" outlineLevel="1" x14ac:dyDescent="0.35">
      <c r="A1003" s="483"/>
      <c r="B1003" s="762" t="s">
        <v>1923</v>
      </c>
      <c r="C1003" s="664" t="s">
        <v>467</v>
      </c>
      <c r="D1003" s="664"/>
      <c r="E1003" s="664"/>
      <c r="F1003" s="665"/>
      <c r="G1003" s="664"/>
      <c r="H1003" s="664"/>
      <c r="I1003" s="664"/>
      <c r="J1003" s="727"/>
      <c r="K1003" s="664"/>
      <c r="L1003" s="666"/>
    </row>
    <row r="1004" spans="1:12" hidden="1" outlineLevel="1" x14ac:dyDescent="0.35">
      <c r="A1004" s="483"/>
      <c r="B1004" s="762" t="s">
        <v>1923</v>
      </c>
      <c r="C1004" s="664" t="s">
        <v>468</v>
      </c>
      <c r="D1004" s="664"/>
      <c r="E1004" s="664"/>
      <c r="F1004" s="665"/>
      <c r="G1004" s="664"/>
      <c r="H1004" s="664"/>
      <c r="I1004" s="664"/>
      <c r="J1004" s="727"/>
      <c r="K1004" s="664"/>
      <c r="L1004" s="666"/>
    </row>
    <row r="1005" spans="1:12" hidden="1" outlineLevel="1" x14ac:dyDescent="0.35">
      <c r="A1005" s="483"/>
      <c r="B1005" s="762" t="s">
        <v>1923</v>
      </c>
      <c r="C1005" s="664" t="s">
        <v>469</v>
      </c>
      <c r="D1005" s="664"/>
      <c r="E1005" s="664"/>
      <c r="F1005" s="665"/>
      <c r="G1005" s="664"/>
      <c r="H1005" s="664"/>
      <c r="I1005" s="664"/>
      <c r="J1005" s="727"/>
      <c r="K1005" s="664"/>
      <c r="L1005" s="666"/>
    </row>
    <row r="1006" spans="1:12" hidden="1" outlineLevel="1" x14ac:dyDescent="0.35">
      <c r="A1006" s="483"/>
      <c r="B1006" s="762" t="s">
        <v>1923</v>
      </c>
      <c r="C1006" s="664" t="s">
        <v>470</v>
      </c>
      <c r="D1006" s="664"/>
      <c r="E1006" s="664"/>
      <c r="F1006" s="665"/>
      <c r="G1006" s="664"/>
      <c r="H1006" s="664"/>
      <c r="I1006" s="664"/>
      <c r="J1006" s="727"/>
      <c r="K1006" s="664"/>
      <c r="L1006" s="666"/>
    </row>
    <row r="1007" spans="1:12" hidden="1" outlineLevel="1" x14ac:dyDescent="0.35">
      <c r="A1007" s="483"/>
      <c r="B1007" s="762" t="s">
        <v>1923</v>
      </c>
      <c r="C1007" s="664" t="s">
        <v>471</v>
      </c>
      <c r="D1007" s="664"/>
      <c r="E1007" s="664"/>
      <c r="F1007" s="665"/>
      <c r="G1007" s="664"/>
      <c r="H1007" s="664"/>
      <c r="I1007" s="664"/>
      <c r="J1007" s="727"/>
      <c r="K1007" s="664"/>
      <c r="L1007" s="666"/>
    </row>
    <row r="1008" spans="1:12" hidden="1" outlineLevel="1" x14ac:dyDescent="0.35">
      <c r="A1008" s="483"/>
      <c r="B1008" s="762" t="s">
        <v>1923</v>
      </c>
      <c r="C1008" s="664" t="s">
        <v>472</v>
      </c>
      <c r="D1008" s="664"/>
      <c r="E1008" s="664"/>
      <c r="F1008" s="665"/>
      <c r="G1008" s="664"/>
      <c r="H1008" s="664"/>
      <c r="I1008" s="664"/>
      <c r="J1008" s="727"/>
      <c r="K1008" s="664"/>
      <c r="L1008" s="666"/>
    </row>
    <row r="1009" spans="1:12" hidden="1" outlineLevel="1" x14ac:dyDescent="0.35">
      <c r="A1009" s="483"/>
      <c r="B1009" s="762" t="s">
        <v>1923</v>
      </c>
      <c r="C1009" s="664" t="s">
        <v>473</v>
      </c>
      <c r="D1009" s="664"/>
      <c r="E1009" s="664"/>
      <c r="F1009" s="665"/>
      <c r="G1009" s="664"/>
      <c r="H1009" s="664"/>
      <c r="I1009" s="664"/>
      <c r="J1009" s="727"/>
      <c r="K1009" s="664"/>
      <c r="L1009" s="666"/>
    </row>
    <row r="1010" spans="1:12" hidden="1" outlineLevel="1" x14ac:dyDescent="0.35">
      <c r="A1010" s="483"/>
      <c r="B1010" s="762" t="s">
        <v>1923</v>
      </c>
      <c r="C1010" s="664" t="s">
        <v>474</v>
      </c>
      <c r="D1010" s="664"/>
      <c r="E1010" s="664"/>
      <c r="F1010" s="665"/>
      <c r="G1010" s="664"/>
      <c r="H1010" s="664"/>
      <c r="I1010" s="664"/>
      <c r="J1010" s="727"/>
      <c r="K1010" s="664"/>
      <c r="L1010" s="666"/>
    </row>
    <row r="1011" spans="1:12" hidden="1" outlineLevel="1" x14ac:dyDescent="0.35">
      <c r="A1011" s="483"/>
      <c r="B1011" s="762" t="s">
        <v>1923</v>
      </c>
      <c r="C1011" s="664" t="s">
        <v>475</v>
      </c>
      <c r="D1011" s="664"/>
      <c r="E1011" s="664"/>
      <c r="F1011" s="665"/>
      <c r="G1011" s="664"/>
      <c r="H1011" s="664"/>
      <c r="I1011" s="664"/>
      <c r="J1011" s="727"/>
      <c r="K1011" s="664"/>
      <c r="L1011" s="666"/>
    </row>
    <row r="1012" spans="1:12" hidden="1" outlineLevel="1" x14ac:dyDescent="0.35">
      <c r="A1012" s="483"/>
      <c r="B1012" s="762" t="s">
        <v>1923</v>
      </c>
      <c r="C1012" s="664" t="s">
        <v>476</v>
      </c>
      <c r="D1012" s="664"/>
      <c r="E1012" s="664"/>
      <c r="F1012" s="665"/>
      <c r="G1012" s="664"/>
      <c r="H1012" s="664"/>
      <c r="I1012" s="664"/>
      <c r="J1012" s="727"/>
      <c r="K1012" s="664"/>
      <c r="L1012" s="666"/>
    </row>
    <row r="1013" spans="1:12" hidden="1" outlineLevel="1" x14ac:dyDescent="0.35">
      <c r="A1013" s="483"/>
      <c r="B1013" s="762" t="s">
        <v>1923</v>
      </c>
      <c r="C1013" s="664" t="s">
        <v>477</v>
      </c>
      <c r="D1013" s="664"/>
      <c r="E1013" s="664"/>
      <c r="F1013" s="665"/>
      <c r="G1013" s="664"/>
      <c r="H1013" s="664"/>
      <c r="I1013" s="664"/>
      <c r="J1013" s="727"/>
      <c r="K1013" s="664"/>
      <c r="L1013" s="666"/>
    </row>
    <row r="1014" spans="1:12" hidden="1" outlineLevel="1" x14ac:dyDescent="0.35">
      <c r="A1014" s="483"/>
      <c r="B1014" s="762" t="s">
        <v>1923</v>
      </c>
      <c r="C1014" s="664" t="s">
        <v>478</v>
      </c>
      <c r="D1014" s="664"/>
      <c r="E1014" s="664"/>
      <c r="F1014" s="665"/>
      <c r="G1014" s="664"/>
      <c r="H1014" s="664"/>
      <c r="I1014" s="664"/>
      <c r="J1014" s="727"/>
      <c r="K1014" s="664"/>
      <c r="L1014" s="666"/>
    </row>
    <row r="1015" spans="1:12" hidden="1" outlineLevel="1" x14ac:dyDescent="0.35">
      <c r="A1015" s="483"/>
      <c r="B1015" s="762" t="s">
        <v>1923</v>
      </c>
      <c r="C1015" s="664" t="s">
        <v>479</v>
      </c>
      <c r="D1015" s="664"/>
      <c r="E1015" s="664"/>
      <c r="F1015" s="665"/>
      <c r="G1015" s="664"/>
      <c r="H1015" s="664"/>
      <c r="I1015" s="664"/>
      <c r="J1015" s="727"/>
      <c r="K1015" s="664"/>
      <c r="L1015" s="666"/>
    </row>
    <row r="1016" spans="1:12" hidden="1" outlineLevel="1" x14ac:dyDescent="0.35">
      <c r="A1016" s="483"/>
      <c r="B1016" s="762" t="s">
        <v>1923</v>
      </c>
      <c r="C1016" s="664" t="s">
        <v>480</v>
      </c>
      <c r="D1016" s="664"/>
      <c r="E1016" s="664"/>
      <c r="F1016" s="665"/>
      <c r="G1016" s="664"/>
      <c r="H1016" s="664"/>
      <c r="I1016" s="664"/>
      <c r="J1016" s="727"/>
      <c r="K1016" s="664"/>
      <c r="L1016" s="666"/>
    </row>
    <row r="1017" spans="1:12" hidden="1" outlineLevel="1" x14ac:dyDescent="0.35">
      <c r="A1017" s="483"/>
      <c r="B1017" s="762" t="s">
        <v>1923</v>
      </c>
      <c r="C1017" s="664" t="s">
        <v>481</v>
      </c>
      <c r="D1017" s="664"/>
      <c r="E1017" s="664"/>
      <c r="F1017" s="665"/>
      <c r="G1017" s="664"/>
      <c r="H1017" s="664"/>
      <c r="I1017" s="664"/>
      <c r="J1017" s="727"/>
      <c r="K1017" s="664"/>
      <c r="L1017" s="666"/>
    </row>
    <row r="1018" spans="1:12" hidden="1" outlineLevel="1" x14ac:dyDescent="0.35">
      <c r="A1018" s="483"/>
      <c r="B1018" s="762" t="s">
        <v>1923</v>
      </c>
      <c r="C1018" s="664" t="s">
        <v>482</v>
      </c>
      <c r="D1018" s="664"/>
      <c r="E1018" s="664"/>
      <c r="F1018" s="665"/>
      <c r="G1018" s="664"/>
      <c r="H1018" s="664"/>
      <c r="I1018" s="664"/>
      <c r="J1018" s="727"/>
      <c r="K1018" s="664"/>
      <c r="L1018" s="666"/>
    </row>
    <row r="1019" spans="1:12" hidden="1" outlineLevel="1" x14ac:dyDescent="0.35">
      <c r="A1019" s="483"/>
      <c r="B1019" s="762" t="s">
        <v>1923</v>
      </c>
      <c r="C1019" s="664" t="s">
        <v>483</v>
      </c>
      <c r="D1019" s="664"/>
      <c r="E1019" s="664"/>
      <c r="F1019" s="665"/>
      <c r="G1019" s="664"/>
      <c r="H1019" s="664"/>
      <c r="I1019" s="664"/>
      <c r="J1019" s="727"/>
      <c r="K1019" s="664"/>
      <c r="L1019" s="666"/>
    </row>
    <row r="1020" spans="1:12" hidden="1" outlineLevel="1" x14ac:dyDescent="0.35">
      <c r="A1020" s="483"/>
      <c r="B1020" s="762" t="s">
        <v>1923</v>
      </c>
      <c r="C1020" s="664" t="s">
        <v>484</v>
      </c>
      <c r="D1020" s="664"/>
      <c r="E1020" s="664"/>
      <c r="F1020" s="665"/>
      <c r="G1020" s="664"/>
      <c r="H1020" s="664"/>
      <c r="I1020" s="664"/>
      <c r="J1020" s="727"/>
      <c r="K1020" s="664"/>
      <c r="L1020" s="666"/>
    </row>
    <row r="1021" spans="1:12" hidden="1" outlineLevel="1" x14ac:dyDescent="0.35">
      <c r="A1021" s="483"/>
      <c r="B1021" s="762" t="s">
        <v>1923</v>
      </c>
      <c r="C1021" s="664" t="s">
        <v>485</v>
      </c>
      <c r="D1021" s="664"/>
      <c r="E1021" s="664"/>
      <c r="F1021" s="665"/>
      <c r="G1021" s="664"/>
      <c r="H1021" s="664"/>
      <c r="I1021" s="664"/>
      <c r="J1021" s="727"/>
      <c r="K1021" s="664"/>
      <c r="L1021" s="666"/>
    </row>
    <row r="1022" spans="1:12" hidden="1" outlineLevel="1" x14ac:dyDescent="0.35">
      <c r="A1022" s="483"/>
      <c r="B1022" s="762" t="s">
        <v>1923</v>
      </c>
      <c r="C1022" s="664" t="s">
        <v>486</v>
      </c>
      <c r="D1022" s="664"/>
      <c r="E1022" s="664"/>
      <c r="F1022" s="665"/>
      <c r="G1022" s="664"/>
      <c r="H1022" s="664"/>
      <c r="I1022" s="664"/>
      <c r="J1022" s="727"/>
      <c r="K1022" s="664"/>
      <c r="L1022" s="666"/>
    </row>
    <row r="1023" spans="1:12" hidden="1" outlineLevel="1" x14ac:dyDescent="0.35">
      <c r="A1023" s="483"/>
      <c r="B1023" s="762" t="s">
        <v>1923</v>
      </c>
      <c r="C1023" s="664" t="s">
        <v>487</v>
      </c>
      <c r="D1023" s="664"/>
      <c r="E1023" s="664"/>
      <c r="F1023" s="665"/>
      <c r="G1023" s="664"/>
      <c r="H1023" s="664"/>
      <c r="I1023" s="664"/>
      <c r="J1023" s="727"/>
      <c r="K1023" s="664"/>
      <c r="L1023" s="666"/>
    </row>
    <row r="1024" spans="1:12" hidden="1" outlineLevel="1" x14ac:dyDescent="0.35">
      <c r="A1024" s="483"/>
      <c r="B1024" s="762" t="s">
        <v>1923</v>
      </c>
      <c r="C1024" s="664" t="s">
        <v>488</v>
      </c>
      <c r="D1024" s="664"/>
      <c r="E1024" s="664"/>
      <c r="F1024" s="665"/>
      <c r="G1024" s="664"/>
      <c r="H1024" s="664"/>
      <c r="I1024" s="664"/>
      <c r="J1024" s="727"/>
      <c r="K1024" s="664"/>
      <c r="L1024" s="666"/>
    </row>
    <row r="1025" spans="1:19" ht="15" hidden="1" outlineLevel="1" thickBot="1" x14ac:dyDescent="0.4">
      <c r="A1025" s="483"/>
      <c r="B1025" s="761"/>
      <c r="C1025" s="670"/>
      <c r="D1025" s="670"/>
      <c r="E1025" s="670"/>
      <c r="F1025" s="671"/>
      <c r="G1025" s="670"/>
      <c r="H1025" s="670"/>
      <c r="I1025" s="670"/>
      <c r="J1025" s="728"/>
      <c r="K1025" s="670"/>
      <c r="L1025" s="711"/>
    </row>
    <row r="1026" spans="1:19" ht="15.5" collapsed="1" thickTop="1" thickBot="1" x14ac:dyDescent="0.4">
      <c r="B1026" s="2"/>
    </row>
    <row r="1027" spans="1:19" ht="23" thickBot="1" x14ac:dyDescent="0.4">
      <c r="B1027" s="524"/>
      <c r="C1027" s="525" t="s">
        <v>579</v>
      </c>
      <c r="D1027" s="525"/>
      <c r="E1027" s="525"/>
      <c r="F1027" s="525"/>
      <c r="G1027" s="525"/>
      <c r="H1027" s="525"/>
      <c r="I1027" s="525"/>
      <c r="J1027" s="525"/>
      <c r="K1027" s="527"/>
      <c r="L1027" s="526"/>
    </row>
    <row r="1028" spans="1:19" s="2" customFormat="1" ht="15.5" hidden="1" outlineLevel="1" thickTop="1" thickBot="1" x14ac:dyDescent="0.4">
      <c r="B1028" s="721"/>
      <c r="C1028" s="719" t="s">
        <v>0</v>
      </c>
      <c r="D1028" s="719"/>
      <c r="E1028" s="719"/>
      <c r="F1028" s="719"/>
      <c r="G1028" s="719"/>
      <c r="H1028" s="719"/>
      <c r="I1028" s="719"/>
      <c r="J1028" s="719"/>
      <c r="K1028" s="719"/>
      <c r="L1028" s="720"/>
      <c r="M1028" s="385"/>
      <c r="S1028" s="783"/>
    </row>
    <row r="1029" spans="1:19" ht="15" hidden="1" outlineLevel="1" thickTop="1" x14ac:dyDescent="0.35">
      <c r="A1029" s="483"/>
      <c r="B1029" s="759" t="s">
        <v>1019</v>
      </c>
      <c r="C1029" s="757" t="s">
        <v>580</v>
      </c>
      <c r="D1029" s="664"/>
      <c r="E1029" s="664"/>
      <c r="F1029" s="665"/>
      <c r="G1029" s="664"/>
      <c r="H1029" s="664"/>
      <c r="I1029" s="664"/>
      <c r="J1029" s="727"/>
      <c r="K1029" s="664"/>
      <c r="L1029" s="666"/>
    </row>
    <row r="1030" spans="1:19" hidden="1" outlineLevel="1" x14ac:dyDescent="0.35">
      <c r="A1030" s="483"/>
      <c r="B1030" s="762" t="s">
        <v>1019</v>
      </c>
      <c r="C1030" s="664" t="s">
        <v>581</v>
      </c>
      <c r="D1030" s="664"/>
      <c r="E1030" s="664"/>
      <c r="F1030" s="665"/>
      <c r="G1030" s="664"/>
      <c r="H1030" s="664"/>
      <c r="I1030" s="664"/>
      <c r="J1030" s="727"/>
      <c r="K1030" s="664"/>
      <c r="L1030" s="666"/>
    </row>
    <row r="1031" spans="1:19" hidden="1" outlineLevel="1" x14ac:dyDescent="0.35">
      <c r="A1031" s="483"/>
      <c r="B1031" s="762" t="s">
        <v>1019</v>
      </c>
      <c r="C1031" s="664" t="s">
        <v>582</v>
      </c>
      <c r="D1031" s="664"/>
      <c r="E1031" s="664"/>
      <c r="F1031" s="665"/>
      <c r="G1031" s="664"/>
      <c r="H1031" s="664"/>
      <c r="I1031" s="664"/>
      <c r="J1031" s="727"/>
      <c r="K1031" s="664"/>
      <c r="L1031" s="666"/>
    </row>
    <row r="1032" spans="1:19" hidden="1" outlineLevel="1" x14ac:dyDescent="0.35">
      <c r="A1032" s="483"/>
      <c r="B1032" s="762" t="s">
        <v>1019</v>
      </c>
      <c r="C1032" s="664" t="s">
        <v>583</v>
      </c>
      <c r="D1032" s="664"/>
      <c r="E1032" s="664"/>
      <c r="F1032" s="665"/>
      <c r="G1032" s="664"/>
      <c r="H1032" s="664"/>
      <c r="I1032" s="664"/>
      <c r="J1032" s="727"/>
      <c r="K1032" s="664"/>
      <c r="L1032" s="666"/>
    </row>
    <row r="1033" spans="1:19" hidden="1" outlineLevel="1" x14ac:dyDescent="0.35">
      <c r="A1033" s="483"/>
      <c r="B1033" s="762" t="s">
        <v>1019</v>
      </c>
      <c r="C1033" s="664" t="s">
        <v>584</v>
      </c>
      <c r="D1033" s="664"/>
      <c r="E1033" s="664"/>
      <c r="F1033" s="665"/>
      <c r="G1033" s="664"/>
      <c r="H1033" s="664"/>
      <c r="I1033" s="664"/>
      <c r="J1033" s="727"/>
      <c r="K1033" s="664"/>
      <c r="L1033" s="666"/>
    </row>
    <row r="1034" spans="1:19" hidden="1" outlineLevel="1" x14ac:dyDescent="0.35">
      <c r="A1034" s="483"/>
      <c r="B1034" s="762" t="s">
        <v>1019</v>
      </c>
      <c r="C1034" s="664" t="s">
        <v>585</v>
      </c>
      <c r="D1034" s="664"/>
      <c r="E1034" s="664"/>
      <c r="F1034" s="665"/>
      <c r="G1034" s="664"/>
      <c r="H1034" s="664"/>
      <c r="I1034" s="664"/>
      <c r="J1034" s="727"/>
      <c r="K1034" s="664"/>
      <c r="L1034" s="666"/>
    </row>
    <row r="1035" spans="1:19" hidden="1" outlineLevel="1" x14ac:dyDescent="0.35">
      <c r="A1035" s="483"/>
      <c r="B1035" s="762" t="s">
        <v>1019</v>
      </c>
      <c r="C1035" s="664" t="s">
        <v>586</v>
      </c>
      <c r="D1035" s="664"/>
      <c r="E1035" s="664"/>
      <c r="F1035" s="665"/>
      <c r="G1035" s="664"/>
      <c r="H1035" s="664"/>
      <c r="I1035" s="664"/>
      <c r="J1035" s="727"/>
      <c r="K1035" s="664"/>
      <c r="L1035" s="666"/>
    </row>
    <row r="1036" spans="1:19" hidden="1" outlineLevel="1" x14ac:dyDescent="0.35">
      <c r="A1036" s="483"/>
      <c r="B1036" s="762" t="s">
        <v>1019</v>
      </c>
      <c r="C1036" s="664" t="s">
        <v>587</v>
      </c>
      <c r="D1036" s="664"/>
      <c r="E1036" s="664"/>
      <c r="F1036" s="665"/>
      <c r="G1036" s="664"/>
      <c r="H1036" s="664"/>
      <c r="I1036" s="664"/>
      <c r="J1036" s="727"/>
      <c r="K1036" s="664"/>
      <c r="L1036" s="666"/>
    </row>
    <row r="1037" spans="1:19" hidden="1" outlineLevel="1" x14ac:dyDescent="0.35">
      <c r="A1037" s="483"/>
      <c r="B1037" s="762" t="s">
        <v>1019</v>
      </c>
      <c r="C1037" s="664" t="s">
        <v>588</v>
      </c>
      <c r="D1037" s="664"/>
      <c r="E1037" s="664"/>
      <c r="F1037" s="665"/>
      <c r="G1037" s="664"/>
      <c r="H1037" s="664"/>
      <c r="I1037" s="664"/>
      <c r="J1037" s="727"/>
      <c r="K1037" s="664"/>
      <c r="L1037" s="666"/>
    </row>
    <row r="1038" spans="1:19" ht="15" hidden="1" outlineLevel="1" thickBot="1" x14ac:dyDescent="0.4">
      <c r="A1038" s="483"/>
      <c r="B1038" s="761"/>
      <c r="C1038" s="670"/>
      <c r="D1038" s="670"/>
      <c r="E1038" s="670"/>
      <c r="F1038" s="671"/>
      <c r="G1038" s="670"/>
      <c r="H1038" s="670"/>
      <c r="I1038" s="670"/>
      <c r="J1038" s="728"/>
      <c r="K1038" s="670"/>
      <c r="L1038" s="711"/>
    </row>
    <row r="1039" spans="1:19" ht="15.5" collapsed="1" thickTop="1" thickBot="1" x14ac:dyDescent="0.4">
      <c r="B1039" s="2"/>
    </row>
    <row r="1040" spans="1:19" ht="23" thickBot="1" x14ac:dyDescent="0.4">
      <c r="B1040" s="524"/>
      <c r="C1040" s="525" t="s">
        <v>589</v>
      </c>
      <c r="D1040" s="525"/>
      <c r="E1040" s="525"/>
      <c r="F1040" s="525"/>
      <c r="G1040" s="525"/>
      <c r="H1040" s="525"/>
      <c r="I1040" s="525"/>
      <c r="J1040" s="525"/>
      <c r="K1040" s="527"/>
      <c r="L1040" s="526"/>
    </row>
    <row r="1041" spans="1:19" s="2" customFormat="1" ht="15.5" hidden="1" outlineLevel="1" thickTop="1" thickBot="1" x14ac:dyDescent="0.4">
      <c r="B1041" s="721"/>
      <c r="C1041" s="719" t="s">
        <v>0</v>
      </c>
      <c r="D1041" s="719"/>
      <c r="E1041" s="719"/>
      <c r="F1041" s="719"/>
      <c r="G1041" s="719"/>
      <c r="H1041" s="719"/>
      <c r="I1041" s="719"/>
      <c r="J1041" s="719"/>
      <c r="K1041" s="719"/>
      <c r="L1041" s="720"/>
      <c r="M1041" s="385"/>
      <c r="S1041" s="783"/>
    </row>
    <row r="1042" spans="1:19" ht="15" hidden="1" outlineLevel="1" thickTop="1" x14ac:dyDescent="0.35">
      <c r="A1042" s="483"/>
      <c r="B1042" s="759" t="s">
        <v>1924</v>
      </c>
      <c r="C1042" s="757" t="s">
        <v>590</v>
      </c>
      <c r="D1042" s="664"/>
      <c r="E1042" s="664"/>
      <c r="F1042" s="665"/>
      <c r="G1042" s="664"/>
      <c r="H1042" s="664"/>
      <c r="I1042" s="664"/>
      <c r="J1042" s="727"/>
      <c r="K1042" s="664"/>
      <c r="L1042" s="666"/>
    </row>
    <row r="1043" spans="1:19" hidden="1" outlineLevel="1" x14ac:dyDescent="0.35">
      <c r="A1043" s="483"/>
      <c r="B1043" s="762" t="s">
        <v>1924</v>
      </c>
      <c r="C1043" s="664" t="s">
        <v>591</v>
      </c>
      <c r="D1043" s="664"/>
      <c r="E1043" s="664"/>
      <c r="F1043" s="665"/>
      <c r="G1043" s="664"/>
      <c r="H1043" s="664"/>
      <c r="I1043" s="664"/>
      <c r="J1043" s="727"/>
      <c r="K1043" s="664"/>
      <c r="L1043" s="666"/>
    </row>
    <row r="1044" spans="1:19" hidden="1" outlineLevel="1" x14ac:dyDescent="0.35">
      <c r="A1044" s="483"/>
      <c r="B1044" s="762" t="s">
        <v>1924</v>
      </c>
      <c r="C1044" s="664" t="s">
        <v>592</v>
      </c>
      <c r="D1044" s="664"/>
      <c r="E1044" s="664"/>
      <c r="F1044" s="665"/>
      <c r="G1044" s="664"/>
      <c r="H1044" s="664"/>
      <c r="I1044" s="664"/>
      <c r="J1044" s="727"/>
      <c r="K1044" s="664"/>
      <c r="L1044" s="666"/>
    </row>
    <row r="1045" spans="1:19" ht="15" hidden="1" outlineLevel="1" thickBot="1" x14ac:dyDescent="0.4">
      <c r="A1045" s="483"/>
      <c r="B1045" s="761"/>
      <c r="C1045" s="670"/>
      <c r="D1045" s="670"/>
      <c r="E1045" s="670"/>
      <c r="F1045" s="671"/>
      <c r="G1045" s="670"/>
      <c r="H1045" s="670"/>
      <c r="I1045" s="670"/>
      <c r="J1045" s="728"/>
      <c r="K1045" s="670"/>
      <c r="L1045" s="711"/>
    </row>
    <row r="1046" spans="1:19" ht="15.5" collapsed="1" thickTop="1" thickBot="1" x14ac:dyDescent="0.4">
      <c r="B1046" s="2"/>
    </row>
    <row r="1047" spans="1:19" ht="23" thickBot="1" x14ac:dyDescent="0.4">
      <c r="B1047" s="524"/>
      <c r="C1047" s="525" t="s">
        <v>593</v>
      </c>
      <c r="D1047" s="525"/>
      <c r="E1047" s="525"/>
      <c r="F1047" s="525"/>
      <c r="G1047" s="525"/>
      <c r="H1047" s="525"/>
      <c r="I1047" s="525"/>
      <c r="J1047" s="525"/>
      <c r="K1047" s="527"/>
      <c r="L1047" s="526"/>
    </row>
    <row r="1048" spans="1:19" s="2" customFormat="1" ht="15.5" hidden="1" outlineLevel="1" thickTop="1" thickBot="1" x14ac:dyDescent="0.4">
      <c r="B1048" s="721"/>
      <c r="C1048" s="719" t="s">
        <v>0</v>
      </c>
      <c r="D1048" s="719"/>
      <c r="E1048" s="719"/>
      <c r="F1048" s="719"/>
      <c r="G1048" s="719"/>
      <c r="H1048" s="719"/>
      <c r="I1048" s="719"/>
      <c r="J1048" s="719"/>
      <c r="K1048" s="719"/>
      <c r="L1048" s="720"/>
      <c r="M1048" s="385"/>
      <c r="S1048" s="783"/>
    </row>
    <row r="1049" spans="1:19" ht="15" hidden="1" outlineLevel="1" thickTop="1" x14ac:dyDescent="0.35">
      <c r="A1049" s="483"/>
      <c r="B1049" s="759" t="s">
        <v>1925</v>
      </c>
      <c r="C1049" s="757" t="s">
        <v>594</v>
      </c>
      <c r="D1049" s="664"/>
      <c r="E1049" s="664"/>
      <c r="F1049" s="665"/>
      <c r="G1049" s="664"/>
      <c r="H1049" s="664"/>
      <c r="I1049" s="664"/>
      <c r="J1049" s="727"/>
      <c r="K1049" s="664"/>
      <c r="L1049" s="666"/>
    </row>
    <row r="1050" spans="1:19" hidden="1" outlineLevel="1" x14ac:dyDescent="0.35">
      <c r="A1050" s="483"/>
      <c r="B1050" s="762" t="s">
        <v>1925</v>
      </c>
      <c r="C1050" s="664" t="s">
        <v>595</v>
      </c>
      <c r="D1050" s="664"/>
      <c r="E1050" s="664"/>
      <c r="F1050" s="665"/>
      <c r="G1050" s="664"/>
      <c r="H1050" s="664"/>
      <c r="I1050" s="664"/>
      <c r="J1050" s="727"/>
      <c r="K1050" s="664"/>
      <c r="L1050" s="666"/>
    </row>
    <row r="1051" spans="1:19" hidden="1" outlineLevel="1" x14ac:dyDescent="0.35">
      <c r="A1051" s="483"/>
      <c r="B1051" s="762" t="s">
        <v>1925</v>
      </c>
      <c r="C1051" s="664" t="s">
        <v>596</v>
      </c>
      <c r="D1051" s="664"/>
      <c r="E1051" s="664"/>
      <c r="F1051" s="665"/>
      <c r="G1051" s="664"/>
      <c r="H1051" s="664"/>
      <c r="I1051" s="664"/>
      <c r="J1051" s="727"/>
      <c r="K1051" s="664"/>
      <c r="L1051" s="666"/>
    </row>
    <row r="1052" spans="1:19" hidden="1" outlineLevel="1" x14ac:dyDescent="0.35">
      <c r="A1052" s="483"/>
      <c r="B1052" s="762" t="s">
        <v>1925</v>
      </c>
      <c r="C1052" s="664" t="s">
        <v>597</v>
      </c>
      <c r="D1052" s="664"/>
      <c r="E1052" s="664"/>
      <c r="F1052" s="665"/>
      <c r="G1052" s="664"/>
      <c r="H1052" s="664"/>
      <c r="I1052" s="664"/>
      <c r="J1052" s="727"/>
      <c r="K1052" s="664"/>
      <c r="L1052" s="666"/>
    </row>
    <row r="1053" spans="1:19" hidden="1" outlineLevel="1" x14ac:dyDescent="0.35">
      <c r="A1053" s="483"/>
      <c r="B1053" s="762" t="s">
        <v>1925</v>
      </c>
      <c r="C1053" s="664" t="s">
        <v>598</v>
      </c>
      <c r="D1053" s="664"/>
      <c r="E1053" s="664"/>
      <c r="F1053" s="665"/>
      <c r="G1053" s="664"/>
      <c r="H1053" s="664"/>
      <c r="I1053" s="664"/>
      <c r="J1053" s="727"/>
      <c r="K1053" s="664"/>
      <c r="L1053" s="666"/>
    </row>
    <row r="1054" spans="1:19" hidden="1" outlineLevel="1" x14ac:dyDescent="0.35">
      <c r="A1054" s="483"/>
      <c r="B1054" s="762" t="s">
        <v>1925</v>
      </c>
      <c r="C1054" s="664" t="s">
        <v>599</v>
      </c>
      <c r="D1054" s="664"/>
      <c r="E1054" s="664"/>
      <c r="F1054" s="665"/>
      <c r="G1054" s="664"/>
      <c r="H1054" s="664"/>
      <c r="I1054" s="664"/>
      <c r="J1054" s="727"/>
      <c r="K1054" s="664"/>
      <c r="L1054" s="666"/>
    </row>
    <row r="1055" spans="1:19" hidden="1" outlineLevel="1" x14ac:dyDescent="0.35">
      <c r="A1055" s="483"/>
      <c r="B1055" s="762" t="s">
        <v>1925</v>
      </c>
      <c r="C1055" s="664" t="s">
        <v>600</v>
      </c>
      <c r="D1055" s="664"/>
      <c r="E1055" s="664"/>
      <c r="F1055" s="665"/>
      <c r="G1055" s="664"/>
      <c r="H1055" s="664"/>
      <c r="I1055" s="664"/>
      <c r="J1055" s="727"/>
      <c r="K1055" s="664"/>
      <c r="L1055" s="666"/>
    </row>
    <row r="1056" spans="1:19" hidden="1" outlineLevel="1" x14ac:dyDescent="0.35">
      <c r="A1056" s="483"/>
      <c r="B1056" s="762" t="s">
        <v>1925</v>
      </c>
      <c r="C1056" s="664" t="s">
        <v>601</v>
      </c>
      <c r="D1056" s="664"/>
      <c r="E1056" s="664"/>
      <c r="F1056" s="665"/>
      <c r="G1056" s="664"/>
      <c r="H1056" s="664"/>
      <c r="I1056" s="664"/>
      <c r="J1056" s="727"/>
      <c r="K1056" s="664"/>
      <c r="L1056" s="666"/>
    </row>
    <row r="1057" spans="1:19" hidden="1" outlineLevel="1" x14ac:dyDescent="0.35">
      <c r="A1057" s="483"/>
      <c r="B1057" s="762" t="s">
        <v>1925</v>
      </c>
      <c r="C1057" s="664" t="s">
        <v>602</v>
      </c>
      <c r="D1057" s="664"/>
      <c r="E1057" s="664"/>
      <c r="F1057" s="665"/>
      <c r="G1057" s="664"/>
      <c r="H1057" s="664"/>
      <c r="I1057" s="664"/>
      <c r="J1057" s="727"/>
      <c r="K1057" s="664"/>
      <c r="L1057" s="666"/>
    </row>
    <row r="1058" spans="1:19" hidden="1" outlineLevel="1" x14ac:dyDescent="0.35">
      <c r="A1058" s="483"/>
      <c r="B1058" s="762" t="s">
        <v>1925</v>
      </c>
      <c r="C1058" s="664" t="s">
        <v>603</v>
      </c>
      <c r="D1058" s="664"/>
      <c r="E1058" s="664"/>
      <c r="F1058" s="665"/>
      <c r="G1058" s="664"/>
      <c r="H1058" s="664"/>
      <c r="I1058" s="664"/>
      <c r="J1058" s="727"/>
      <c r="K1058" s="664"/>
      <c r="L1058" s="666"/>
    </row>
    <row r="1059" spans="1:19" hidden="1" outlineLevel="1" x14ac:dyDescent="0.35">
      <c r="A1059" s="483"/>
      <c r="B1059" s="762" t="s">
        <v>1925</v>
      </c>
      <c r="C1059" s="664" t="s">
        <v>604</v>
      </c>
      <c r="D1059" s="664"/>
      <c r="E1059" s="664"/>
      <c r="F1059" s="665"/>
      <c r="G1059" s="664"/>
      <c r="H1059" s="664"/>
      <c r="I1059" s="664"/>
      <c r="J1059" s="727"/>
      <c r="K1059" s="664"/>
      <c r="L1059" s="666"/>
    </row>
    <row r="1060" spans="1:19" hidden="1" outlineLevel="1" x14ac:dyDescent="0.35">
      <c r="A1060" s="483"/>
      <c r="B1060" s="762" t="s">
        <v>1925</v>
      </c>
      <c r="C1060" s="664" t="s">
        <v>605</v>
      </c>
      <c r="D1060" s="664"/>
      <c r="E1060" s="664"/>
      <c r="F1060" s="665"/>
      <c r="G1060" s="664"/>
      <c r="H1060" s="664"/>
      <c r="I1060" s="664"/>
      <c r="J1060" s="727"/>
      <c r="K1060" s="664"/>
      <c r="L1060" s="666"/>
    </row>
    <row r="1061" spans="1:19" hidden="1" outlineLevel="1" x14ac:dyDescent="0.35">
      <c r="A1061" s="483"/>
      <c r="B1061" s="762" t="s">
        <v>1925</v>
      </c>
      <c r="C1061" s="664" t="s">
        <v>606</v>
      </c>
      <c r="D1061" s="664"/>
      <c r="E1061" s="664"/>
      <c r="F1061" s="665"/>
      <c r="G1061" s="664"/>
      <c r="H1061" s="664"/>
      <c r="I1061" s="664"/>
      <c r="J1061" s="727"/>
      <c r="K1061" s="664"/>
      <c r="L1061" s="666"/>
    </row>
    <row r="1062" spans="1:19" hidden="1" outlineLevel="1" x14ac:dyDescent="0.35">
      <c r="A1062" s="483"/>
      <c r="B1062" s="762" t="s">
        <v>1925</v>
      </c>
      <c r="C1062" s="664" t="s">
        <v>607</v>
      </c>
      <c r="D1062" s="664"/>
      <c r="E1062" s="664"/>
      <c r="F1062" s="665"/>
      <c r="G1062" s="664"/>
      <c r="H1062" s="664"/>
      <c r="I1062" s="664"/>
      <c r="J1062" s="727"/>
      <c r="K1062" s="664"/>
      <c r="L1062" s="666"/>
    </row>
    <row r="1063" spans="1:19" ht="15" hidden="1" outlineLevel="1" thickBot="1" x14ac:dyDescent="0.4">
      <c r="A1063" s="483"/>
      <c r="B1063" s="761"/>
      <c r="C1063" s="670"/>
      <c r="D1063" s="670"/>
      <c r="E1063" s="670"/>
      <c r="F1063" s="671"/>
      <c r="G1063" s="670"/>
      <c r="H1063" s="670"/>
      <c r="I1063" s="670"/>
      <c r="J1063" s="728"/>
      <c r="K1063" s="670"/>
      <c r="L1063" s="711"/>
    </row>
    <row r="1064" spans="1:19" ht="15.5" collapsed="1" thickTop="1" thickBot="1" x14ac:dyDescent="0.4">
      <c r="B1064" s="2"/>
    </row>
    <row r="1065" spans="1:19" ht="23" thickBot="1" x14ac:dyDescent="0.4">
      <c r="B1065" s="524"/>
      <c r="C1065" s="525" t="s">
        <v>637</v>
      </c>
      <c r="D1065" s="525"/>
      <c r="E1065" s="525"/>
      <c r="F1065" s="525"/>
      <c r="G1065" s="525"/>
      <c r="H1065" s="525"/>
      <c r="I1065" s="525"/>
      <c r="J1065" s="525"/>
      <c r="K1065" s="527"/>
      <c r="L1065" s="526"/>
    </row>
    <row r="1066" spans="1:19" s="2" customFormat="1" ht="15.5" hidden="1" outlineLevel="1" thickTop="1" thickBot="1" x14ac:dyDescent="0.4">
      <c r="B1066" s="721"/>
      <c r="C1066" s="719" t="s">
        <v>0</v>
      </c>
      <c r="D1066" s="719"/>
      <c r="E1066" s="719"/>
      <c r="F1066" s="719"/>
      <c r="G1066" s="719"/>
      <c r="H1066" s="719"/>
      <c r="I1066" s="719"/>
      <c r="J1066" s="719"/>
      <c r="K1066" s="719"/>
      <c r="L1066" s="720"/>
      <c r="M1066" s="385"/>
      <c r="S1066" s="783"/>
    </row>
    <row r="1067" spans="1:19" ht="15" hidden="1" outlineLevel="1" thickTop="1" x14ac:dyDescent="0.35">
      <c r="A1067" s="483"/>
      <c r="B1067" s="759" t="s">
        <v>1926</v>
      </c>
      <c r="C1067" s="757" t="s">
        <v>638</v>
      </c>
      <c r="D1067" s="664"/>
      <c r="E1067" s="664"/>
      <c r="F1067" s="665"/>
      <c r="G1067" s="664"/>
      <c r="H1067" s="664"/>
      <c r="I1067" s="664"/>
      <c r="J1067" s="727"/>
      <c r="K1067" s="664"/>
      <c r="L1067" s="666"/>
    </row>
    <row r="1068" spans="1:19" hidden="1" outlineLevel="1" x14ac:dyDescent="0.35">
      <c r="A1068" s="483"/>
      <c r="B1068" s="762" t="s">
        <v>1926</v>
      </c>
      <c r="C1068" s="664" t="s">
        <v>639</v>
      </c>
      <c r="D1068" s="664"/>
      <c r="E1068" s="664"/>
      <c r="F1068" s="665"/>
      <c r="G1068" s="664"/>
      <c r="H1068" s="664"/>
      <c r="I1068" s="664"/>
      <c r="J1068" s="727"/>
      <c r="K1068" s="664"/>
      <c r="L1068" s="666"/>
    </row>
    <row r="1069" spans="1:19" hidden="1" outlineLevel="1" x14ac:dyDescent="0.35">
      <c r="A1069" s="483"/>
      <c r="B1069" s="762" t="s">
        <v>1926</v>
      </c>
      <c r="C1069" s="664" t="s">
        <v>640</v>
      </c>
      <c r="D1069" s="664"/>
      <c r="E1069" s="664"/>
      <c r="F1069" s="665"/>
      <c r="G1069" s="664"/>
      <c r="H1069" s="664"/>
      <c r="I1069" s="664"/>
      <c r="J1069" s="727"/>
      <c r="K1069" s="664"/>
      <c r="L1069" s="666"/>
    </row>
    <row r="1070" spans="1:19" hidden="1" outlineLevel="1" x14ac:dyDescent="0.35">
      <c r="A1070" s="483"/>
      <c r="B1070" s="762" t="s">
        <v>1926</v>
      </c>
      <c r="C1070" s="664" t="s">
        <v>641</v>
      </c>
      <c r="D1070" s="664"/>
      <c r="E1070" s="664"/>
      <c r="F1070" s="665"/>
      <c r="G1070" s="664"/>
      <c r="H1070" s="664"/>
      <c r="I1070" s="664"/>
      <c r="J1070" s="727"/>
      <c r="K1070" s="664"/>
      <c r="L1070" s="666"/>
    </row>
    <row r="1071" spans="1:19" hidden="1" outlineLevel="1" x14ac:dyDescent="0.35">
      <c r="A1071" s="483"/>
      <c r="B1071" s="762" t="s">
        <v>1926</v>
      </c>
      <c r="C1071" s="664" t="s">
        <v>642</v>
      </c>
      <c r="D1071" s="664"/>
      <c r="E1071" s="664"/>
      <c r="F1071" s="665"/>
      <c r="G1071" s="664"/>
      <c r="H1071" s="664"/>
      <c r="I1071" s="664"/>
      <c r="J1071" s="727"/>
      <c r="K1071" s="664"/>
      <c r="L1071" s="666"/>
    </row>
    <row r="1072" spans="1:19" hidden="1" outlineLevel="1" x14ac:dyDescent="0.35">
      <c r="A1072" s="483"/>
      <c r="B1072" s="762" t="s">
        <v>1926</v>
      </c>
      <c r="C1072" s="664" t="s">
        <v>643</v>
      </c>
      <c r="D1072" s="664"/>
      <c r="E1072" s="664"/>
      <c r="F1072" s="665"/>
      <c r="G1072" s="664"/>
      <c r="H1072" s="664"/>
      <c r="I1072" s="664"/>
      <c r="J1072" s="727"/>
      <c r="K1072" s="664"/>
      <c r="L1072" s="666"/>
    </row>
    <row r="1073" spans="1:12" hidden="1" outlineLevel="1" x14ac:dyDescent="0.35">
      <c r="A1073" s="483"/>
      <c r="B1073" s="762" t="s">
        <v>1926</v>
      </c>
      <c r="C1073" s="664" t="s">
        <v>644</v>
      </c>
      <c r="D1073" s="664"/>
      <c r="E1073" s="664"/>
      <c r="F1073" s="665"/>
      <c r="G1073" s="664"/>
      <c r="H1073" s="664"/>
      <c r="I1073" s="664"/>
      <c r="J1073" s="727"/>
      <c r="K1073" s="664"/>
      <c r="L1073" s="666"/>
    </row>
    <row r="1074" spans="1:12" hidden="1" outlineLevel="1" x14ac:dyDescent="0.35">
      <c r="A1074" s="483"/>
      <c r="B1074" s="762" t="s">
        <v>1926</v>
      </c>
      <c r="C1074" s="664" t="s">
        <v>645</v>
      </c>
      <c r="D1074" s="664"/>
      <c r="E1074" s="664"/>
      <c r="F1074" s="665"/>
      <c r="G1074" s="664"/>
      <c r="H1074" s="664"/>
      <c r="I1074" s="664"/>
      <c r="J1074" s="727"/>
      <c r="K1074" s="664"/>
      <c r="L1074" s="666"/>
    </row>
    <row r="1075" spans="1:12" hidden="1" outlineLevel="1" x14ac:dyDescent="0.35">
      <c r="A1075" s="483"/>
      <c r="B1075" s="762" t="s">
        <v>1926</v>
      </c>
      <c r="C1075" s="664" t="s">
        <v>646</v>
      </c>
      <c r="D1075" s="664"/>
      <c r="E1075" s="664"/>
      <c r="F1075" s="665"/>
      <c r="G1075" s="664"/>
      <c r="H1075" s="664"/>
      <c r="I1075" s="664"/>
      <c r="J1075" s="727"/>
      <c r="K1075" s="664"/>
      <c r="L1075" s="666"/>
    </row>
    <row r="1076" spans="1:12" hidden="1" outlineLevel="1" x14ac:dyDescent="0.35">
      <c r="A1076" s="483"/>
      <c r="B1076" s="762" t="s">
        <v>1926</v>
      </c>
      <c r="C1076" s="664" t="s">
        <v>647</v>
      </c>
      <c r="D1076" s="664"/>
      <c r="E1076" s="664"/>
      <c r="F1076" s="665"/>
      <c r="G1076" s="664"/>
      <c r="H1076" s="664"/>
      <c r="I1076" s="664"/>
      <c r="J1076" s="727"/>
      <c r="K1076" s="664"/>
      <c r="L1076" s="666"/>
    </row>
    <row r="1077" spans="1:12" hidden="1" outlineLevel="1" x14ac:dyDescent="0.35">
      <c r="A1077" s="483"/>
      <c r="B1077" s="762" t="s">
        <v>1926</v>
      </c>
      <c r="C1077" s="664" t="s">
        <v>648</v>
      </c>
      <c r="D1077" s="664"/>
      <c r="E1077" s="664"/>
      <c r="F1077" s="665"/>
      <c r="G1077" s="664"/>
      <c r="H1077" s="664"/>
      <c r="I1077" s="664"/>
      <c r="J1077" s="727"/>
      <c r="K1077" s="664"/>
      <c r="L1077" s="666"/>
    </row>
    <row r="1078" spans="1:12" hidden="1" outlineLevel="1" x14ac:dyDescent="0.35">
      <c r="A1078" s="483"/>
      <c r="B1078" s="762" t="s">
        <v>1926</v>
      </c>
      <c r="C1078" s="664" t="s">
        <v>649</v>
      </c>
      <c r="D1078" s="664"/>
      <c r="E1078" s="664"/>
      <c r="F1078" s="665"/>
      <c r="G1078" s="664"/>
      <c r="H1078" s="664"/>
      <c r="I1078" s="664"/>
      <c r="J1078" s="727"/>
      <c r="K1078" s="664"/>
      <c r="L1078" s="666"/>
    </row>
    <row r="1079" spans="1:12" hidden="1" outlineLevel="1" x14ac:dyDescent="0.35">
      <c r="A1079" s="483"/>
      <c r="B1079" s="762" t="s">
        <v>1926</v>
      </c>
      <c r="C1079" s="664" t="s">
        <v>650</v>
      </c>
      <c r="D1079" s="664"/>
      <c r="E1079" s="664"/>
      <c r="F1079" s="665"/>
      <c r="G1079" s="664"/>
      <c r="H1079" s="664"/>
      <c r="I1079" s="664"/>
      <c r="J1079" s="727"/>
      <c r="K1079" s="664"/>
      <c r="L1079" s="666"/>
    </row>
    <row r="1080" spans="1:12" hidden="1" outlineLevel="1" x14ac:dyDescent="0.35">
      <c r="A1080" s="483"/>
      <c r="B1080" s="762" t="s">
        <v>1926</v>
      </c>
      <c r="C1080" s="664" t="s">
        <v>651</v>
      </c>
      <c r="D1080" s="664"/>
      <c r="E1080" s="664"/>
      <c r="F1080" s="665"/>
      <c r="G1080" s="664"/>
      <c r="H1080" s="664"/>
      <c r="I1080" s="664"/>
      <c r="J1080" s="727"/>
      <c r="K1080" s="664"/>
      <c r="L1080" s="666"/>
    </row>
    <row r="1081" spans="1:12" hidden="1" outlineLevel="1" x14ac:dyDescent="0.35">
      <c r="A1081" s="483"/>
      <c r="B1081" s="762" t="s">
        <v>1926</v>
      </c>
      <c r="C1081" s="664" t="s">
        <v>652</v>
      </c>
      <c r="D1081" s="664"/>
      <c r="E1081" s="664"/>
      <c r="F1081" s="665"/>
      <c r="G1081" s="664"/>
      <c r="H1081" s="664"/>
      <c r="I1081" s="664"/>
      <c r="J1081" s="727"/>
      <c r="K1081" s="664"/>
      <c r="L1081" s="666"/>
    </row>
    <row r="1082" spans="1:12" hidden="1" outlineLevel="1" x14ac:dyDescent="0.35">
      <c r="A1082" s="483"/>
      <c r="B1082" s="762" t="s">
        <v>1926</v>
      </c>
      <c r="C1082" s="664" t="s">
        <v>653</v>
      </c>
      <c r="D1082" s="664"/>
      <c r="E1082" s="664"/>
      <c r="F1082" s="665"/>
      <c r="G1082" s="664"/>
      <c r="H1082" s="664"/>
      <c r="I1082" s="664"/>
      <c r="J1082" s="727"/>
      <c r="K1082" s="664"/>
      <c r="L1082" s="666"/>
    </row>
    <row r="1083" spans="1:12" hidden="1" outlineLevel="1" x14ac:dyDescent="0.35">
      <c r="A1083" s="483"/>
      <c r="B1083" s="762" t="s">
        <v>1926</v>
      </c>
      <c r="C1083" s="664" t="s">
        <v>654</v>
      </c>
      <c r="D1083" s="664"/>
      <c r="E1083" s="664"/>
      <c r="F1083" s="665"/>
      <c r="G1083" s="664"/>
      <c r="H1083" s="664"/>
      <c r="I1083" s="664"/>
      <c r="J1083" s="727"/>
      <c r="K1083" s="664"/>
      <c r="L1083" s="666"/>
    </row>
    <row r="1084" spans="1:12" hidden="1" outlineLevel="1" x14ac:dyDescent="0.35">
      <c r="A1084" s="483"/>
      <c r="B1084" s="762" t="s">
        <v>1926</v>
      </c>
      <c r="C1084" s="664" t="s">
        <v>655</v>
      </c>
      <c r="D1084" s="664"/>
      <c r="E1084" s="664"/>
      <c r="F1084" s="665"/>
      <c r="G1084" s="664"/>
      <c r="H1084" s="664"/>
      <c r="I1084" s="664"/>
      <c r="J1084" s="727"/>
      <c r="K1084" s="664"/>
      <c r="L1084" s="666"/>
    </row>
    <row r="1085" spans="1:12" hidden="1" outlineLevel="1" x14ac:dyDescent="0.35">
      <c r="A1085" s="483"/>
      <c r="B1085" s="762" t="s">
        <v>1926</v>
      </c>
      <c r="C1085" s="664" t="s">
        <v>656</v>
      </c>
      <c r="D1085" s="664"/>
      <c r="E1085" s="664"/>
      <c r="F1085" s="665"/>
      <c r="G1085" s="664"/>
      <c r="H1085" s="664"/>
      <c r="I1085" s="664"/>
      <c r="J1085" s="727"/>
      <c r="K1085" s="664"/>
      <c r="L1085" s="666"/>
    </row>
    <row r="1086" spans="1:12" hidden="1" outlineLevel="1" x14ac:dyDescent="0.35">
      <c r="A1086" s="483"/>
      <c r="B1086" s="762" t="s">
        <v>1926</v>
      </c>
      <c r="C1086" s="664" t="s">
        <v>657</v>
      </c>
      <c r="D1086" s="664"/>
      <c r="E1086" s="664"/>
      <c r="F1086" s="665"/>
      <c r="G1086" s="664"/>
      <c r="H1086" s="664"/>
      <c r="I1086" s="664"/>
      <c r="J1086" s="727"/>
      <c r="K1086" s="664"/>
      <c r="L1086" s="666"/>
    </row>
    <row r="1087" spans="1:12" hidden="1" outlineLevel="1" x14ac:dyDescent="0.35">
      <c r="A1087" s="483"/>
      <c r="B1087" s="762" t="s">
        <v>1926</v>
      </c>
      <c r="C1087" s="664" t="s">
        <v>658</v>
      </c>
      <c r="D1087" s="664"/>
      <c r="E1087" s="664"/>
      <c r="F1087" s="665"/>
      <c r="G1087" s="664"/>
      <c r="H1087" s="664"/>
      <c r="I1087" s="664"/>
      <c r="J1087" s="727"/>
      <c r="K1087" s="664"/>
      <c r="L1087" s="666"/>
    </row>
    <row r="1088" spans="1:12" hidden="1" outlineLevel="1" x14ac:dyDescent="0.35">
      <c r="A1088" s="483"/>
      <c r="B1088" s="762" t="s">
        <v>1926</v>
      </c>
      <c r="C1088" s="664" t="s">
        <v>659</v>
      </c>
      <c r="D1088" s="664"/>
      <c r="E1088" s="664"/>
      <c r="F1088" s="665"/>
      <c r="G1088" s="664"/>
      <c r="H1088" s="664"/>
      <c r="I1088" s="664"/>
      <c r="J1088" s="727"/>
      <c r="K1088" s="664"/>
      <c r="L1088" s="666"/>
    </row>
    <row r="1089" spans="1:12" hidden="1" outlineLevel="1" x14ac:dyDescent="0.35">
      <c r="A1089" s="483"/>
      <c r="B1089" s="762" t="s">
        <v>1926</v>
      </c>
      <c r="C1089" s="664" t="s">
        <v>660</v>
      </c>
      <c r="D1089" s="664"/>
      <c r="E1089" s="664"/>
      <c r="F1089" s="665"/>
      <c r="G1089" s="664"/>
      <c r="H1089" s="664"/>
      <c r="I1089" s="664"/>
      <c r="J1089" s="727"/>
      <c r="K1089" s="664"/>
      <c r="L1089" s="666"/>
    </row>
    <row r="1090" spans="1:12" hidden="1" outlineLevel="1" x14ac:dyDescent="0.35">
      <c r="A1090" s="483"/>
      <c r="B1090" s="762" t="s">
        <v>1926</v>
      </c>
      <c r="C1090" s="664" t="s">
        <v>661</v>
      </c>
      <c r="D1090" s="664"/>
      <c r="E1090" s="664"/>
      <c r="F1090" s="665"/>
      <c r="G1090" s="664"/>
      <c r="H1090" s="664"/>
      <c r="I1090" s="664"/>
      <c r="J1090" s="727"/>
      <c r="K1090" s="664"/>
      <c r="L1090" s="666"/>
    </row>
    <row r="1091" spans="1:12" hidden="1" outlineLevel="1" x14ac:dyDescent="0.35">
      <c r="A1091" s="483"/>
      <c r="B1091" s="762" t="s">
        <v>1926</v>
      </c>
      <c r="C1091" s="664" t="s">
        <v>662</v>
      </c>
      <c r="D1091" s="664"/>
      <c r="E1091" s="664"/>
      <c r="F1091" s="665"/>
      <c r="G1091" s="664"/>
      <c r="H1091" s="664"/>
      <c r="I1091" s="664"/>
      <c r="J1091" s="727"/>
      <c r="K1091" s="664"/>
      <c r="L1091" s="666"/>
    </row>
    <row r="1092" spans="1:12" hidden="1" outlineLevel="1" x14ac:dyDescent="0.35">
      <c r="A1092" s="483"/>
      <c r="B1092" s="762" t="s">
        <v>1926</v>
      </c>
      <c r="C1092" s="664" t="s">
        <v>663</v>
      </c>
      <c r="D1092" s="664"/>
      <c r="E1092" s="664"/>
      <c r="F1092" s="665"/>
      <c r="G1092" s="664"/>
      <c r="H1092" s="664"/>
      <c r="I1092" s="664"/>
      <c r="J1092" s="727"/>
      <c r="K1092" s="664"/>
      <c r="L1092" s="666"/>
    </row>
    <row r="1093" spans="1:12" hidden="1" outlineLevel="1" x14ac:dyDescent="0.35">
      <c r="A1093" s="483"/>
      <c r="B1093" s="762" t="s">
        <v>1926</v>
      </c>
      <c r="C1093" s="664" t="s">
        <v>664</v>
      </c>
      <c r="D1093" s="664"/>
      <c r="E1093" s="664"/>
      <c r="F1093" s="665"/>
      <c r="G1093" s="664"/>
      <c r="H1093" s="664"/>
      <c r="I1093" s="664"/>
      <c r="J1093" s="727"/>
      <c r="K1093" s="664"/>
      <c r="L1093" s="666"/>
    </row>
    <row r="1094" spans="1:12" hidden="1" outlineLevel="1" x14ac:dyDescent="0.35">
      <c r="A1094" s="483"/>
      <c r="B1094" s="762" t="s">
        <v>1926</v>
      </c>
      <c r="C1094" s="664" t="s">
        <v>665</v>
      </c>
      <c r="D1094" s="664"/>
      <c r="E1094" s="664"/>
      <c r="F1094" s="665"/>
      <c r="G1094" s="664"/>
      <c r="H1094" s="664"/>
      <c r="I1094" s="664"/>
      <c r="J1094" s="727"/>
      <c r="K1094" s="664"/>
      <c r="L1094" s="666"/>
    </row>
    <row r="1095" spans="1:12" hidden="1" outlineLevel="1" x14ac:dyDescent="0.35">
      <c r="A1095" s="483"/>
      <c r="B1095" s="762" t="s">
        <v>1926</v>
      </c>
      <c r="C1095" s="664" t="s">
        <v>666</v>
      </c>
      <c r="D1095" s="664"/>
      <c r="E1095" s="664"/>
      <c r="F1095" s="665"/>
      <c r="G1095" s="664"/>
      <c r="H1095" s="664"/>
      <c r="I1095" s="664"/>
      <c r="J1095" s="727"/>
      <c r="K1095" s="664"/>
      <c r="L1095" s="666"/>
    </row>
    <row r="1096" spans="1:12" hidden="1" outlineLevel="1" x14ac:dyDescent="0.35">
      <c r="A1096" s="483"/>
      <c r="B1096" s="762" t="s">
        <v>1926</v>
      </c>
      <c r="C1096" s="664" t="s">
        <v>667</v>
      </c>
      <c r="D1096" s="664"/>
      <c r="E1096" s="664"/>
      <c r="F1096" s="665"/>
      <c r="G1096" s="664"/>
      <c r="H1096" s="664"/>
      <c r="I1096" s="664"/>
      <c r="J1096" s="727"/>
      <c r="K1096" s="664"/>
      <c r="L1096" s="666"/>
    </row>
    <row r="1097" spans="1:12" hidden="1" outlineLevel="1" x14ac:dyDescent="0.35">
      <c r="A1097" s="483"/>
      <c r="B1097" s="762" t="s">
        <v>1926</v>
      </c>
      <c r="C1097" s="664" t="s">
        <v>668</v>
      </c>
      <c r="D1097" s="664"/>
      <c r="E1097" s="664"/>
      <c r="F1097" s="665"/>
      <c r="G1097" s="664"/>
      <c r="H1097" s="664"/>
      <c r="I1097" s="664"/>
      <c r="J1097" s="727"/>
      <c r="K1097" s="664"/>
      <c r="L1097" s="666"/>
    </row>
    <row r="1098" spans="1:12" hidden="1" outlineLevel="1" x14ac:dyDescent="0.35">
      <c r="A1098" s="483"/>
      <c r="B1098" s="762" t="s">
        <v>1926</v>
      </c>
      <c r="C1098" s="664" t="s">
        <v>669</v>
      </c>
      <c r="D1098" s="664"/>
      <c r="E1098" s="664"/>
      <c r="F1098" s="665"/>
      <c r="G1098" s="664"/>
      <c r="H1098" s="664"/>
      <c r="I1098" s="664"/>
      <c r="J1098" s="727"/>
      <c r="K1098" s="664"/>
      <c r="L1098" s="666"/>
    </row>
    <row r="1099" spans="1:12" hidden="1" outlineLevel="1" x14ac:dyDescent="0.35">
      <c r="A1099" s="483"/>
      <c r="B1099" s="762" t="s">
        <v>1926</v>
      </c>
      <c r="C1099" s="664" t="s">
        <v>670</v>
      </c>
      <c r="D1099" s="664"/>
      <c r="E1099" s="664"/>
      <c r="F1099" s="665"/>
      <c r="G1099" s="664"/>
      <c r="H1099" s="664"/>
      <c r="I1099" s="664"/>
      <c r="J1099" s="727"/>
      <c r="K1099" s="664"/>
      <c r="L1099" s="666"/>
    </row>
    <row r="1100" spans="1:12" hidden="1" outlineLevel="1" x14ac:dyDescent="0.35">
      <c r="A1100" s="483"/>
      <c r="B1100" s="762" t="s">
        <v>1926</v>
      </c>
      <c r="C1100" s="664" t="s">
        <v>671</v>
      </c>
      <c r="D1100" s="664"/>
      <c r="E1100" s="664"/>
      <c r="F1100" s="665"/>
      <c r="G1100" s="664"/>
      <c r="H1100" s="664"/>
      <c r="I1100" s="664"/>
      <c r="J1100" s="727"/>
      <c r="K1100" s="664"/>
      <c r="L1100" s="666"/>
    </row>
    <row r="1101" spans="1:12" hidden="1" outlineLevel="1" x14ac:dyDescent="0.35">
      <c r="A1101" s="483"/>
      <c r="B1101" s="762" t="s">
        <v>1926</v>
      </c>
      <c r="C1101" s="664" t="s">
        <v>672</v>
      </c>
      <c r="D1101" s="664"/>
      <c r="E1101" s="664"/>
      <c r="F1101" s="665"/>
      <c r="G1101" s="664"/>
      <c r="H1101" s="664"/>
      <c r="I1101" s="664"/>
      <c r="J1101" s="727"/>
      <c r="K1101" s="664"/>
      <c r="L1101" s="666"/>
    </row>
    <row r="1102" spans="1:12" hidden="1" outlineLevel="1" x14ac:dyDescent="0.35">
      <c r="A1102" s="483"/>
      <c r="B1102" s="762" t="s">
        <v>1926</v>
      </c>
      <c r="C1102" s="664" t="s">
        <v>673</v>
      </c>
      <c r="D1102" s="664"/>
      <c r="E1102" s="664"/>
      <c r="F1102" s="665"/>
      <c r="G1102" s="664"/>
      <c r="H1102" s="664"/>
      <c r="I1102" s="664"/>
      <c r="J1102" s="727"/>
      <c r="K1102" s="664"/>
      <c r="L1102" s="666"/>
    </row>
    <row r="1103" spans="1:12" hidden="1" outlineLevel="1" x14ac:dyDescent="0.35">
      <c r="A1103" s="483"/>
      <c r="B1103" s="762" t="s">
        <v>1926</v>
      </c>
      <c r="C1103" s="664" t="s">
        <v>674</v>
      </c>
      <c r="D1103" s="664"/>
      <c r="E1103" s="664"/>
      <c r="F1103" s="665"/>
      <c r="G1103" s="664"/>
      <c r="H1103" s="664"/>
      <c r="I1103" s="664"/>
      <c r="J1103" s="727"/>
      <c r="K1103" s="664"/>
      <c r="L1103" s="666"/>
    </row>
    <row r="1104" spans="1:12" hidden="1" outlineLevel="1" x14ac:dyDescent="0.35">
      <c r="A1104" s="483"/>
      <c r="B1104" s="762" t="s">
        <v>1926</v>
      </c>
      <c r="C1104" s="664" t="s">
        <v>675</v>
      </c>
      <c r="D1104" s="664"/>
      <c r="E1104" s="664"/>
      <c r="F1104" s="665"/>
      <c r="G1104" s="664"/>
      <c r="H1104" s="664"/>
      <c r="I1104" s="664"/>
      <c r="J1104" s="727"/>
      <c r="K1104" s="664"/>
      <c r="L1104" s="666"/>
    </row>
    <row r="1105" spans="1:19" hidden="1" outlineLevel="1" x14ac:dyDescent="0.35">
      <c r="A1105" s="483"/>
      <c r="B1105" s="762" t="s">
        <v>1926</v>
      </c>
      <c r="C1105" s="664" t="s">
        <v>676</v>
      </c>
      <c r="D1105" s="664"/>
      <c r="E1105" s="664"/>
      <c r="F1105" s="665"/>
      <c r="G1105" s="664"/>
      <c r="H1105" s="664"/>
      <c r="I1105" s="664"/>
      <c r="J1105" s="727"/>
      <c r="K1105" s="664"/>
      <c r="L1105" s="666"/>
    </row>
    <row r="1106" spans="1:19" ht="15" hidden="1" outlineLevel="1" thickBot="1" x14ac:dyDescent="0.4">
      <c r="A1106" s="483"/>
      <c r="B1106" s="761"/>
      <c r="C1106" s="670"/>
      <c r="D1106" s="670"/>
      <c r="E1106" s="670"/>
      <c r="F1106" s="671"/>
      <c r="G1106" s="670"/>
      <c r="H1106" s="670"/>
      <c r="I1106" s="670"/>
      <c r="J1106" s="728"/>
      <c r="K1106" s="670"/>
      <c r="L1106" s="711"/>
    </row>
    <row r="1107" spans="1:19" ht="15.5" collapsed="1" thickTop="1" thickBot="1" x14ac:dyDescent="0.4"/>
    <row r="1108" spans="1:19" ht="23" thickBot="1" x14ac:dyDescent="0.4">
      <c r="B1108" s="524"/>
      <c r="C1108" s="525" t="s">
        <v>1774</v>
      </c>
      <c r="D1108" s="525"/>
      <c r="E1108" s="525"/>
      <c r="F1108" s="525"/>
      <c r="G1108" s="525"/>
      <c r="H1108" s="525"/>
      <c r="I1108" s="525"/>
      <c r="J1108" s="525"/>
      <c r="K1108" s="527"/>
      <c r="L1108" s="526"/>
    </row>
    <row r="1109" spans="1:19" s="2" customFormat="1" ht="15.5" hidden="1" outlineLevel="1" thickTop="1" thickBot="1" x14ac:dyDescent="0.4">
      <c r="B1109" s="721"/>
      <c r="C1109" s="719" t="s">
        <v>1034</v>
      </c>
      <c r="D1109" s="719" t="s">
        <v>0</v>
      </c>
      <c r="E1109" s="719"/>
      <c r="F1109" s="719"/>
      <c r="G1109" s="719"/>
      <c r="H1109" s="719" t="s">
        <v>1990</v>
      </c>
      <c r="I1109" s="719" t="s">
        <v>1787</v>
      </c>
      <c r="J1109" s="719" t="s">
        <v>1788</v>
      </c>
      <c r="K1109" s="719"/>
      <c r="L1109" s="720"/>
      <c r="M1109" s="385"/>
      <c r="S1109" s="783"/>
    </row>
    <row r="1110" spans="1:19" ht="15" hidden="1" outlineLevel="1" thickTop="1" x14ac:dyDescent="0.35">
      <c r="A1110" s="483"/>
      <c r="B1110" s="759" t="s">
        <v>1927</v>
      </c>
      <c r="C1110" s="758">
        <v>3011</v>
      </c>
      <c r="D1110" s="664" t="s">
        <v>1777</v>
      </c>
      <c r="E1110" s="664"/>
      <c r="F1110" s="665"/>
      <c r="G1110" s="664"/>
      <c r="H1110" s="665" t="s">
        <v>745</v>
      </c>
      <c r="I1110" s="722">
        <v>0</v>
      </c>
      <c r="J1110" s="727">
        <v>0</v>
      </c>
      <c r="K1110" s="664"/>
      <c r="L1110" s="666"/>
    </row>
    <row r="1111" spans="1:19" hidden="1" outlineLevel="1" x14ac:dyDescent="0.35">
      <c r="A1111" s="483"/>
      <c r="B1111" s="760" t="s">
        <v>1927</v>
      </c>
      <c r="C1111" s="731">
        <v>3021</v>
      </c>
      <c r="D1111" s="730" t="s">
        <v>1778</v>
      </c>
      <c r="E1111" s="730"/>
      <c r="F1111" s="731"/>
      <c r="G1111" s="730"/>
      <c r="H1111" s="731" t="s">
        <v>745</v>
      </c>
      <c r="I1111" s="734">
        <v>0</v>
      </c>
      <c r="J1111" s="732">
        <v>0</v>
      </c>
      <c r="K1111" s="730"/>
      <c r="L1111" s="733"/>
    </row>
    <row r="1112" spans="1:19" hidden="1" outlineLevel="1" x14ac:dyDescent="0.35">
      <c r="A1112" s="483"/>
      <c r="B1112" s="760" t="s">
        <v>1927</v>
      </c>
      <c r="C1112" s="731">
        <v>3023</v>
      </c>
      <c r="D1112" s="730" t="s">
        <v>1779</v>
      </c>
      <c r="E1112" s="730"/>
      <c r="F1112" s="731"/>
      <c r="G1112" s="730"/>
      <c r="H1112" s="731" t="s">
        <v>745</v>
      </c>
      <c r="I1112" s="734">
        <v>0</v>
      </c>
      <c r="J1112" s="732">
        <v>0.15</v>
      </c>
      <c r="K1112" s="730"/>
      <c r="L1112" s="733"/>
    </row>
    <row r="1113" spans="1:19" hidden="1" outlineLevel="1" x14ac:dyDescent="0.35">
      <c r="A1113" s="483"/>
      <c r="B1113" s="760" t="s">
        <v>1927</v>
      </c>
      <c r="C1113" s="731">
        <v>3031</v>
      </c>
      <c r="D1113" s="730" t="s">
        <v>1780</v>
      </c>
      <c r="E1113" s="730"/>
      <c r="F1113" s="731"/>
      <c r="G1113" s="730"/>
      <c r="H1113" s="731" t="s">
        <v>745</v>
      </c>
      <c r="I1113" s="734">
        <v>0</v>
      </c>
      <c r="J1113" s="732">
        <v>0.75</v>
      </c>
      <c r="K1113" s="730"/>
      <c r="L1113" s="733"/>
    </row>
    <row r="1114" spans="1:19" hidden="1" outlineLevel="1" x14ac:dyDescent="0.35">
      <c r="A1114" s="483"/>
      <c r="B1114" s="760" t="s">
        <v>1927</v>
      </c>
      <c r="C1114" s="731">
        <v>3033</v>
      </c>
      <c r="D1114" s="730" t="s">
        <v>1781</v>
      </c>
      <c r="E1114" s="730"/>
      <c r="F1114" s="731"/>
      <c r="G1114" s="730"/>
      <c r="H1114" s="731" t="s">
        <v>745</v>
      </c>
      <c r="I1114" s="734">
        <v>0</v>
      </c>
      <c r="J1114" s="732">
        <v>0.75</v>
      </c>
      <c r="K1114" s="730"/>
      <c r="L1114" s="733"/>
    </row>
    <row r="1115" spans="1:19" hidden="1" outlineLevel="1" x14ac:dyDescent="0.35">
      <c r="A1115" s="483"/>
      <c r="B1115" s="760" t="s">
        <v>1927</v>
      </c>
      <c r="C1115" s="731">
        <v>3041</v>
      </c>
      <c r="D1115" s="730" t="s">
        <v>1782</v>
      </c>
      <c r="E1115" s="730"/>
      <c r="F1115" s="731"/>
      <c r="G1115" s="730"/>
      <c r="H1115" s="731" t="s">
        <v>745</v>
      </c>
      <c r="I1115" s="734">
        <v>0</v>
      </c>
      <c r="J1115" s="732">
        <v>0.75</v>
      </c>
      <c r="K1115" s="730"/>
      <c r="L1115" s="733"/>
    </row>
    <row r="1116" spans="1:19" hidden="1" outlineLevel="1" x14ac:dyDescent="0.35">
      <c r="A1116" s="483"/>
      <c r="B1116" s="760" t="s">
        <v>1927</v>
      </c>
      <c r="C1116" s="731">
        <v>3043</v>
      </c>
      <c r="D1116" s="730" t="s">
        <v>1783</v>
      </c>
      <c r="E1116" s="730"/>
      <c r="F1116" s="731"/>
      <c r="G1116" s="730"/>
      <c r="H1116" s="731" t="s">
        <v>745</v>
      </c>
      <c r="I1116" s="734">
        <v>0</v>
      </c>
      <c r="J1116" s="732">
        <v>0</v>
      </c>
      <c r="K1116" s="730"/>
      <c r="L1116" s="733"/>
    </row>
    <row r="1117" spans="1:19" hidden="1" outlineLevel="1" x14ac:dyDescent="0.35">
      <c r="A1117" s="483"/>
      <c r="B1117" s="760" t="s">
        <v>1927</v>
      </c>
      <c r="C1117" s="731">
        <v>3051</v>
      </c>
      <c r="D1117" s="730" t="s">
        <v>1784</v>
      </c>
      <c r="E1117" s="730"/>
      <c r="F1117" s="731"/>
      <c r="G1117" s="730"/>
      <c r="H1117" s="731" t="s">
        <v>745</v>
      </c>
      <c r="I1117" s="734">
        <v>0</v>
      </c>
      <c r="J1117" s="732">
        <v>0</v>
      </c>
      <c r="K1117" s="730"/>
      <c r="L1117" s="733"/>
    </row>
    <row r="1118" spans="1:19" hidden="1" outlineLevel="1" x14ac:dyDescent="0.35">
      <c r="A1118" s="483"/>
      <c r="B1118" s="760" t="s">
        <v>1927</v>
      </c>
      <c r="C1118" s="731">
        <v>3053</v>
      </c>
      <c r="D1118" s="730" t="s">
        <v>1785</v>
      </c>
      <c r="E1118" s="730"/>
      <c r="F1118" s="731"/>
      <c r="G1118" s="730"/>
      <c r="H1118" s="731" t="s">
        <v>745</v>
      </c>
      <c r="I1118" s="734">
        <v>0</v>
      </c>
      <c r="J1118" s="732">
        <v>0</v>
      </c>
      <c r="K1118" s="730"/>
      <c r="L1118" s="733"/>
    </row>
    <row r="1119" spans="1:19" hidden="1" outlineLevel="1" x14ac:dyDescent="0.35">
      <c r="A1119" s="483"/>
      <c r="B1119" s="760" t="s">
        <v>1927</v>
      </c>
      <c r="C1119" s="731">
        <v>3054</v>
      </c>
      <c r="D1119" s="730" t="s">
        <v>1786</v>
      </c>
      <c r="E1119" s="730"/>
      <c r="F1119" s="731"/>
      <c r="G1119" s="730"/>
      <c r="H1119" s="731" t="s">
        <v>745</v>
      </c>
      <c r="I1119" s="734">
        <v>0</v>
      </c>
      <c r="J1119" s="732">
        <v>0.1</v>
      </c>
      <c r="K1119" s="730"/>
      <c r="L1119" s="733"/>
    </row>
    <row r="1120" spans="1:19" hidden="1" outlineLevel="1" x14ac:dyDescent="0.35">
      <c r="A1120" s="483"/>
      <c r="B1120" s="760" t="s">
        <v>1927</v>
      </c>
      <c r="C1120" s="731">
        <v>3680</v>
      </c>
      <c r="D1120" s="730" t="s">
        <v>1775</v>
      </c>
      <c r="E1120" s="730"/>
      <c r="F1120" s="731"/>
      <c r="G1120" s="730"/>
      <c r="H1120" s="731" t="s">
        <v>745</v>
      </c>
      <c r="I1120" s="734">
        <v>0.04</v>
      </c>
      <c r="J1120" s="732">
        <v>0</v>
      </c>
      <c r="K1120" s="730"/>
      <c r="L1120" s="733"/>
    </row>
    <row r="1121" spans="1:19" ht="15" hidden="1" outlineLevel="1" thickBot="1" x14ac:dyDescent="0.4">
      <c r="A1121" s="483"/>
      <c r="B1121" s="761"/>
      <c r="C1121" s="671"/>
      <c r="D1121" s="670"/>
      <c r="E1121" s="670"/>
      <c r="F1121" s="671"/>
      <c r="G1121" s="670"/>
      <c r="H1121" s="671"/>
      <c r="I1121" s="723"/>
      <c r="J1121" s="728"/>
      <c r="K1121" s="670"/>
      <c r="L1121" s="711"/>
    </row>
    <row r="1122" spans="1:19" ht="15.5" collapsed="1" thickTop="1" thickBot="1" x14ac:dyDescent="0.4"/>
    <row r="1123" spans="1:19" ht="23" thickBot="1" x14ac:dyDescent="0.4">
      <c r="B1123" s="524"/>
      <c r="C1123" s="525" t="s">
        <v>1776</v>
      </c>
      <c r="D1123" s="525"/>
      <c r="E1123" s="525"/>
      <c r="F1123" s="525"/>
      <c r="G1123" s="525"/>
      <c r="H1123" s="525"/>
      <c r="I1123" s="525"/>
      <c r="J1123" s="525"/>
      <c r="K1123" s="527"/>
      <c r="L1123" s="526"/>
    </row>
    <row r="1124" spans="1:19" s="2" customFormat="1" ht="15.5" hidden="1" outlineLevel="1" thickTop="1" thickBot="1" x14ac:dyDescent="0.4">
      <c r="B1124" s="721"/>
      <c r="C1124" s="719" t="s">
        <v>1034</v>
      </c>
      <c r="D1124" s="719" t="s">
        <v>0</v>
      </c>
      <c r="E1124" s="719"/>
      <c r="F1124" s="719"/>
      <c r="G1124" s="719"/>
      <c r="H1124" s="719"/>
      <c r="I1124" s="719" t="s">
        <v>1787</v>
      </c>
      <c r="J1124" s="719" t="s">
        <v>1788</v>
      </c>
      <c r="K1124" s="719"/>
      <c r="L1124" s="720"/>
      <c r="M1124" s="385"/>
      <c r="S1124" s="783"/>
    </row>
    <row r="1125" spans="1:19" ht="15" hidden="1" outlineLevel="1" thickTop="1" x14ac:dyDescent="0.35">
      <c r="A1125" s="483"/>
      <c r="B1125" s="759" t="s">
        <v>1928</v>
      </c>
      <c r="C1125" s="758">
        <v>5001</v>
      </c>
      <c r="D1125" s="664" t="s">
        <v>1789</v>
      </c>
      <c r="E1125" s="664"/>
      <c r="F1125" s="665"/>
      <c r="G1125" s="664"/>
      <c r="H1125" s="665"/>
      <c r="I1125" s="722">
        <v>0</v>
      </c>
      <c r="J1125" s="727">
        <v>0.05</v>
      </c>
      <c r="K1125" s="664"/>
      <c r="L1125" s="666"/>
    </row>
    <row r="1126" spans="1:19" ht="15" hidden="1" outlineLevel="1" thickBot="1" x14ac:dyDescent="0.4">
      <c r="A1126" s="483"/>
      <c r="B1126" s="768"/>
      <c r="C1126" s="736"/>
      <c r="D1126" s="735"/>
      <c r="E1126" s="735"/>
      <c r="F1126" s="736"/>
      <c r="G1126" s="735"/>
      <c r="H1126" s="736"/>
      <c r="I1126" s="737"/>
      <c r="J1126" s="738"/>
      <c r="K1126" s="735"/>
      <c r="L1126" s="739"/>
    </row>
    <row r="1127" spans="1:19" ht="15.5" collapsed="1" thickTop="1" thickBot="1" x14ac:dyDescent="0.4"/>
    <row r="1128" spans="1:19" ht="23" thickBot="1" x14ac:dyDescent="0.4">
      <c r="B1128" s="524"/>
      <c r="C1128" s="525" t="s">
        <v>1854</v>
      </c>
      <c r="D1128" s="525"/>
      <c r="E1128" s="525"/>
      <c r="F1128" s="525"/>
      <c r="G1128" s="525"/>
      <c r="H1128" s="525"/>
      <c r="I1128" s="525"/>
      <c r="J1128" s="525"/>
      <c r="K1128" s="527"/>
      <c r="L1128" s="526"/>
    </row>
    <row r="1129" spans="1:19" s="2" customFormat="1" ht="27" hidden="1" outlineLevel="1" thickTop="1" thickBot="1" x14ac:dyDescent="0.4">
      <c r="B1129" s="721"/>
      <c r="C1129" s="719" t="s">
        <v>1625</v>
      </c>
      <c r="D1129" s="719"/>
      <c r="E1129" s="719" t="s">
        <v>1852</v>
      </c>
      <c r="F1129" s="719" t="s">
        <v>1853</v>
      </c>
      <c r="G1129" s="719"/>
      <c r="H1129" s="719"/>
      <c r="I1129" s="719"/>
      <c r="J1129" s="719"/>
      <c r="K1129" s="719"/>
      <c r="L1129" s="720"/>
      <c r="M1129" s="385"/>
      <c r="S1129" s="783"/>
    </row>
    <row r="1130" spans="1:19" ht="15" hidden="1" outlineLevel="1" thickTop="1" x14ac:dyDescent="0.35">
      <c r="A1130" s="483"/>
      <c r="B1130" s="769" t="s">
        <v>1865</v>
      </c>
      <c r="C1130" s="746" t="s">
        <v>1861</v>
      </c>
      <c r="D1130" s="741"/>
      <c r="E1130" s="740"/>
      <c r="F1130" s="740"/>
      <c r="G1130" s="743"/>
      <c r="H1130" s="746"/>
      <c r="I1130" s="744"/>
      <c r="J1130" s="745"/>
      <c r="K1130" s="746"/>
      <c r="L1130" s="747"/>
    </row>
    <row r="1131" spans="1:19" hidden="1" outlineLevel="1" x14ac:dyDescent="0.35">
      <c r="A1131" s="483"/>
      <c r="B1131" s="770" t="s">
        <v>1866</v>
      </c>
      <c r="C1131" s="730" t="s">
        <v>1862</v>
      </c>
      <c r="D1131" s="742"/>
      <c r="E1131" s="729"/>
      <c r="F1131" s="729"/>
      <c r="G1131" s="748"/>
      <c r="H1131" s="730"/>
      <c r="I1131" s="734"/>
      <c r="J1131" s="732"/>
      <c r="K1131" s="730"/>
      <c r="L1131" s="733"/>
    </row>
    <row r="1132" spans="1:19" hidden="1" outlineLevel="1" x14ac:dyDescent="0.35">
      <c r="A1132" s="483"/>
      <c r="B1132" s="770" t="s">
        <v>1867</v>
      </c>
      <c r="C1132" s="730" t="s">
        <v>1863</v>
      </c>
      <c r="D1132" s="742"/>
      <c r="E1132" s="729"/>
      <c r="F1132" s="729"/>
      <c r="G1132" s="748"/>
      <c r="H1132" s="730"/>
      <c r="I1132" s="734"/>
      <c r="J1132" s="732"/>
      <c r="K1132" s="730"/>
      <c r="L1132" s="733"/>
    </row>
    <row r="1133" spans="1:19" hidden="1" outlineLevel="1" x14ac:dyDescent="0.35">
      <c r="A1133" s="483"/>
      <c r="B1133" s="770" t="s">
        <v>1868</v>
      </c>
      <c r="C1133" s="730" t="s">
        <v>1864</v>
      </c>
      <c r="D1133" s="742"/>
      <c r="E1133" s="729"/>
      <c r="F1133" s="729"/>
      <c r="G1133" s="748"/>
      <c r="H1133" s="730"/>
      <c r="I1133" s="734"/>
      <c r="J1133" s="732"/>
      <c r="K1133" s="730"/>
      <c r="L1133" s="733"/>
    </row>
    <row r="1134" spans="1:19" ht="15" hidden="1" outlineLevel="1" thickBot="1" x14ac:dyDescent="0.4">
      <c r="A1134" s="483"/>
      <c r="B1134" s="771"/>
      <c r="C1134" s="735"/>
      <c r="D1134" s="749"/>
      <c r="E1134" s="750"/>
      <c r="F1134" s="750"/>
      <c r="G1134" s="751"/>
      <c r="H1134" s="735"/>
      <c r="I1134" s="737"/>
      <c r="J1134" s="738"/>
      <c r="K1134" s="735"/>
      <c r="L1134" s="739"/>
    </row>
    <row r="1135" spans="1:19" ht="15.5" collapsed="1" thickTop="1" thickBot="1" x14ac:dyDescent="0.4"/>
    <row r="1136" spans="1:19" ht="23" thickBot="1" x14ac:dyDescent="0.4">
      <c r="B1136" s="524"/>
      <c r="C1136" s="525" t="s">
        <v>1855</v>
      </c>
      <c r="D1136" s="525"/>
      <c r="E1136" s="525"/>
      <c r="F1136" s="525"/>
      <c r="G1136" s="525"/>
      <c r="H1136" s="525"/>
      <c r="I1136" s="525"/>
      <c r="J1136" s="525"/>
      <c r="K1136" s="527"/>
      <c r="L1136" s="526"/>
    </row>
    <row r="1137" spans="1:19" ht="27" hidden="1" outlineLevel="1" thickTop="1" thickBot="1" x14ac:dyDescent="0.4">
      <c r="B1137" s="721"/>
      <c r="C1137" s="719" t="s">
        <v>1625</v>
      </c>
      <c r="D1137" s="719"/>
      <c r="E1137" s="719" t="s">
        <v>1852</v>
      </c>
      <c r="F1137" s="719" t="s">
        <v>1853</v>
      </c>
      <c r="G1137" s="719"/>
      <c r="H1137" s="719"/>
      <c r="I1137" s="719"/>
      <c r="J1137" s="719"/>
      <c r="K1137" s="719"/>
      <c r="L1137" s="720"/>
    </row>
    <row r="1138" spans="1:19" s="2" customFormat="1" ht="15" hidden="1" outlineLevel="1" thickTop="1" x14ac:dyDescent="0.35">
      <c r="B1138" s="769" t="s">
        <v>2121</v>
      </c>
      <c r="C1138" s="746" t="s">
        <v>1857</v>
      </c>
      <c r="D1138" s="741"/>
      <c r="E1138" s="740"/>
      <c r="F1138" s="740"/>
      <c r="G1138" s="743"/>
      <c r="H1138" s="746"/>
      <c r="I1138" s="744"/>
      <c r="J1138" s="745"/>
      <c r="K1138" s="746"/>
      <c r="L1138" s="747"/>
      <c r="M1138" s="385"/>
      <c r="S1138" s="783"/>
    </row>
    <row r="1139" spans="1:19" hidden="1" outlineLevel="1" x14ac:dyDescent="0.35">
      <c r="A1139" s="483"/>
      <c r="B1139" s="770" t="s">
        <v>2121</v>
      </c>
      <c r="C1139" s="730" t="s">
        <v>1822</v>
      </c>
      <c r="D1139" s="742"/>
      <c r="E1139" s="729"/>
      <c r="F1139" s="729"/>
      <c r="G1139" s="748"/>
      <c r="H1139" s="730"/>
      <c r="I1139" s="734"/>
      <c r="J1139" s="732"/>
      <c r="K1139" s="730"/>
      <c r="L1139" s="733"/>
    </row>
    <row r="1140" spans="1:19" hidden="1" outlineLevel="1" x14ac:dyDescent="0.35">
      <c r="A1140" s="483"/>
      <c r="B1140" s="770" t="s">
        <v>2121</v>
      </c>
      <c r="C1140" s="730" t="s">
        <v>1823</v>
      </c>
      <c r="D1140" s="742"/>
      <c r="E1140" s="729"/>
      <c r="F1140" s="729"/>
      <c r="G1140" s="748"/>
      <c r="H1140" s="730"/>
      <c r="I1140" s="734"/>
      <c r="J1140" s="732"/>
      <c r="K1140" s="730"/>
      <c r="L1140" s="733"/>
    </row>
    <row r="1141" spans="1:19" hidden="1" outlineLevel="1" x14ac:dyDescent="0.35">
      <c r="A1141" s="483"/>
      <c r="B1141" s="770" t="s">
        <v>2121</v>
      </c>
      <c r="C1141" s="730" t="s">
        <v>1289</v>
      </c>
      <c r="D1141" s="742"/>
      <c r="E1141" s="729"/>
      <c r="F1141" s="729"/>
      <c r="G1141" s="748"/>
      <c r="H1141" s="730"/>
      <c r="I1141" s="734"/>
      <c r="J1141" s="732"/>
      <c r="K1141" s="730"/>
      <c r="L1141" s="733"/>
    </row>
    <row r="1142" spans="1:19" ht="15" hidden="1" outlineLevel="1" thickBot="1" x14ac:dyDescent="0.4">
      <c r="A1142" s="483"/>
      <c r="B1142" s="771"/>
      <c r="C1142" s="735"/>
      <c r="D1142" s="749"/>
      <c r="E1142" s="750"/>
      <c r="F1142" s="750"/>
      <c r="G1142" s="751"/>
      <c r="H1142" s="735"/>
      <c r="I1142" s="737"/>
      <c r="J1142" s="738"/>
      <c r="K1142" s="735"/>
      <c r="L1142" s="739"/>
    </row>
    <row r="1143" spans="1:19" ht="15.5" collapsed="1" thickTop="1" thickBot="1" x14ac:dyDescent="0.4">
      <c r="B1143" s="2"/>
    </row>
    <row r="1144" spans="1:19" ht="23" thickBot="1" x14ac:dyDescent="0.4">
      <c r="B1144" s="524"/>
      <c r="C1144" s="525" t="s">
        <v>1856</v>
      </c>
      <c r="D1144" s="525"/>
      <c r="E1144" s="525"/>
      <c r="F1144" s="525"/>
      <c r="G1144" s="525"/>
      <c r="H1144" s="525"/>
      <c r="I1144" s="525"/>
      <c r="J1144" s="525"/>
      <c r="K1144" s="527"/>
      <c r="L1144" s="526"/>
    </row>
    <row r="1145" spans="1:19" ht="27" hidden="1" outlineLevel="1" thickTop="1" thickBot="1" x14ac:dyDescent="0.4">
      <c r="B1145" s="721"/>
      <c r="C1145" s="719" t="s">
        <v>1625</v>
      </c>
      <c r="D1145" s="719"/>
      <c r="E1145" s="719" t="s">
        <v>1852</v>
      </c>
      <c r="F1145" s="719" t="s">
        <v>1853</v>
      </c>
      <c r="G1145" s="719"/>
      <c r="H1145" s="719"/>
      <c r="I1145" s="719"/>
      <c r="J1145" s="719" t="s">
        <v>1674</v>
      </c>
      <c r="K1145" s="719"/>
      <c r="L1145" s="720"/>
    </row>
    <row r="1146" spans="1:19" s="2" customFormat="1" ht="15" hidden="1" outlineLevel="1" thickTop="1" x14ac:dyDescent="0.35">
      <c r="B1146" s="769" t="s">
        <v>2122</v>
      </c>
      <c r="C1146" s="746" t="s">
        <v>1851</v>
      </c>
      <c r="D1146" s="741"/>
      <c r="E1146" s="740" t="s">
        <v>1860</v>
      </c>
      <c r="F1146" s="740"/>
      <c r="G1146" s="743"/>
      <c r="H1146" s="746"/>
      <c r="I1146" s="744"/>
      <c r="J1146" s="745"/>
      <c r="K1146" s="746"/>
      <c r="L1146" s="747"/>
      <c r="M1146" s="385"/>
      <c r="S1146" s="783"/>
    </row>
    <row r="1147" spans="1:19" hidden="1" outlineLevel="1" x14ac:dyDescent="0.35">
      <c r="A1147" s="483"/>
      <c r="B1147" s="770" t="s">
        <v>2122</v>
      </c>
      <c r="C1147" s="730" t="s">
        <v>1858</v>
      </c>
      <c r="D1147" s="742"/>
      <c r="E1147" s="729"/>
      <c r="F1147" s="729"/>
      <c r="G1147" s="748"/>
      <c r="H1147" s="730"/>
      <c r="I1147" s="734"/>
      <c r="J1147" s="732"/>
      <c r="K1147" s="730"/>
      <c r="L1147" s="733"/>
    </row>
    <row r="1148" spans="1:19" hidden="1" outlineLevel="1" x14ac:dyDescent="0.35">
      <c r="A1148" s="483"/>
      <c r="B1148" s="770" t="s">
        <v>2122</v>
      </c>
      <c r="C1148" s="730" t="s">
        <v>1859</v>
      </c>
      <c r="D1148" s="742"/>
      <c r="E1148" s="729" t="s">
        <v>1888</v>
      </c>
      <c r="F1148" s="729"/>
      <c r="G1148" s="748"/>
      <c r="H1148" s="730"/>
      <c r="I1148" s="734"/>
      <c r="J1148" s="732"/>
      <c r="K1148" s="730"/>
      <c r="L1148" s="733"/>
    </row>
    <row r="1149" spans="1:19" hidden="1" outlineLevel="1" x14ac:dyDescent="0.35">
      <c r="A1149" s="483"/>
      <c r="B1149" s="770" t="s">
        <v>2122</v>
      </c>
      <c r="C1149" s="730" t="s">
        <v>1673</v>
      </c>
      <c r="D1149" s="742"/>
      <c r="E1149" s="729"/>
      <c r="F1149" s="729"/>
      <c r="G1149" s="748"/>
      <c r="H1149" s="730"/>
      <c r="I1149" s="734"/>
      <c r="J1149" s="732"/>
      <c r="K1149" s="730"/>
      <c r="L1149" s="733"/>
    </row>
    <row r="1150" spans="1:19" hidden="1" outlineLevel="1" x14ac:dyDescent="0.35">
      <c r="A1150" s="483"/>
      <c r="B1150" s="770" t="s">
        <v>2122</v>
      </c>
      <c r="C1150" s="730"/>
      <c r="D1150" s="742"/>
      <c r="E1150" s="729"/>
      <c r="F1150" s="729"/>
      <c r="G1150" s="748"/>
      <c r="H1150" s="730"/>
      <c r="I1150" s="734"/>
      <c r="J1150" s="732"/>
      <c r="K1150" s="730"/>
      <c r="L1150" s="733"/>
    </row>
    <row r="1151" spans="1:19" hidden="1" outlineLevel="1" x14ac:dyDescent="0.35">
      <c r="A1151" s="483"/>
      <c r="B1151" s="770" t="s">
        <v>2122</v>
      </c>
      <c r="C1151" s="730"/>
      <c r="D1151" s="742"/>
      <c r="E1151" s="729"/>
      <c r="F1151" s="729"/>
      <c r="G1151" s="748"/>
      <c r="H1151" s="730"/>
      <c r="I1151" s="734"/>
      <c r="J1151" s="732"/>
      <c r="K1151" s="730"/>
      <c r="L1151" s="733"/>
    </row>
    <row r="1152" spans="1:19" hidden="1" outlineLevel="1" x14ac:dyDescent="0.35">
      <c r="A1152" s="483"/>
      <c r="B1152" s="770" t="s">
        <v>2122</v>
      </c>
      <c r="C1152" s="730"/>
      <c r="D1152" s="742"/>
      <c r="E1152" s="729"/>
      <c r="F1152" s="729"/>
      <c r="G1152" s="748"/>
      <c r="H1152" s="730"/>
      <c r="I1152" s="734"/>
      <c r="J1152" s="732"/>
      <c r="K1152" s="730"/>
      <c r="L1152" s="733"/>
    </row>
    <row r="1153" spans="1:12" hidden="1" outlineLevel="1" x14ac:dyDescent="0.35">
      <c r="A1153" s="483"/>
      <c r="B1153" s="770" t="s">
        <v>2122</v>
      </c>
      <c r="C1153" s="730"/>
      <c r="D1153" s="742"/>
      <c r="E1153" s="729"/>
      <c r="F1153" s="729"/>
      <c r="G1153" s="748"/>
      <c r="H1153" s="730"/>
      <c r="I1153" s="734"/>
      <c r="J1153" s="732"/>
      <c r="K1153" s="730"/>
      <c r="L1153" s="733"/>
    </row>
    <row r="1154" spans="1:12" hidden="1" outlineLevel="1" x14ac:dyDescent="0.35">
      <c r="A1154" s="483"/>
      <c r="B1154" s="770" t="s">
        <v>2122</v>
      </c>
      <c r="C1154" s="730"/>
      <c r="D1154" s="742"/>
      <c r="E1154" s="729"/>
      <c r="F1154" s="729"/>
      <c r="G1154" s="748"/>
      <c r="H1154" s="730"/>
      <c r="I1154" s="734"/>
      <c r="J1154" s="732"/>
      <c r="K1154" s="730"/>
      <c r="L1154" s="733"/>
    </row>
    <row r="1155" spans="1:12" hidden="1" outlineLevel="1" x14ac:dyDescent="0.35">
      <c r="A1155" s="483"/>
      <c r="B1155" s="770" t="s">
        <v>2122</v>
      </c>
      <c r="C1155" s="730"/>
      <c r="D1155" s="742"/>
      <c r="E1155" s="729"/>
      <c r="F1155" s="729"/>
      <c r="G1155" s="748"/>
      <c r="H1155" s="730"/>
      <c r="I1155" s="734"/>
      <c r="J1155" s="732"/>
      <c r="K1155" s="730"/>
      <c r="L1155" s="733"/>
    </row>
    <row r="1156" spans="1:12" hidden="1" outlineLevel="1" x14ac:dyDescent="0.35">
      <c r="A1156" s="483"/>
      <c r="B1156" s="770" t="s">
        <v>2122</v>
      </c>
      <c r="C1156" s="730"/>
      <c r="D1156" s="742"/>
      <c r="E1156" s="729"/>
      <c r="F1156" s="729"/>
      <c r="G1156" s="748"/>
      <c r="H1156" s="730"/>
      <c r="I1156" s="734"/>
      <c r="J1156" s="732"/>
      <c r="K1156" s="730"/>
      <c r="L1156" s="733"/>
    </row>
    <row r="1157" spans="1:12" hidden="1" outlineLevel="1" x14ac:dyDescent="0.35">
      <c r="A1157" s="483"/>
      <c r="B1157" s="770" t="s">
        <v>2122</v>
      </c>
      <c r="C1157" s="730"/>
      <c r="D1157" s="742"/>
      <c r="E1157" s="729"/>
      <c r="F1157" s="729"/>
      <c r="G1157" s="748"/>
      <c r="H1157" s="730"/>
      <c r="I1157" s="734"/>
      <c r="J1157" s="732"/>
      <c r="K1157" s="730"/>
      <c r="L1157" s="733"/>
    </row>
    <row r="1158" spans="1:12" hidden="1" outlineLevel="1" x14ac:dyDescent="0.35">
      <c r="A1158" s="483"/>
      <c r="B1158" s="770" t="s">
        <v>2122</v>
      </c>
      <c r="C1158" s="730"/>
      <c r="D1158" s="742"/>
      <c r="E1158" s="729"/>
      <c r="F1158" s="729"/>
      <c r="G1158" s="748"/>
      <c r="H1158" s="730"/>
      <c r="I1158" s="734"/>
      <c r="J1158" s="732"/>
      <c r="K1158" s="730"/>
      <c r="L1158" s="733"/>
    </row>
    <row r="1159" spans="1:12" hidden="1" outlineLevel="1" x14ac:dyDescent="0.35">
      <c r="A1159" s="483"/>
      <c r="B1159" s="770" t="s">
        <v>2122</v>
      </c>
      <c r="C1159" s="730"/>
      <c r="D1159" s="742"/>
      <c r="E1159" s="729"/>
      <c r="F1159" s="729"/>
      <c r="G1159" s="748"/>
      <c r="H1159" s="730"/>
      <c r="I1159" s="734"/>
      <c r="J1159" s="732"/>
      <c r="K1159" s="730"/>
      <c r="L1159" s="733"/>
    </row>
    <row r="1160" spans="1:12" hidden="1" outlineLevel="1" x14ac:dyDescent="0.35">
      <c r="A1160" s="483"/>
      <c r="B1160" s="770" t="s">
        <v>2122</v>
      </c>
      <c r="C1160" s="730"/>
      <c r="D1160" s="742"/>
      <c r="E1160" s="729"/>
      <c r="F1160" s="729"/>
      <c r="G1160" s="748"/>
      <c r="H1160" s="730"/>
      <c r="I1160" s="734"/>
      <c r="J1160" s="732"/>
      <c r="K1160" s="730"/>
      <c r="L1160" s="733"/>
    </row>
    <row r="1161" spans="1:12" hidden="1" outlineLevel="1" x14ac:dyDescent="0.35">
      <c r="A1161" s="483"/>
      <c r="B1161" s="770" t="s">
        <v>2122</v>
      </c>
      <c r="C1161" s="730"/>
      <c r="D1161" s="742"/>
      <c r="E1161" s="729"/>
      <c r="F1161" s="729"/>
      <c r="G1161" s="748"/>
      <c r="H1161" s="730"/>
      <c r="I1161" s="734"/>
      <c r="J1161" s="732"/>
      <c r="K1161" s="730"/>
      <c r="L1161" s="733"/>
    </row>
    <row r="1162" spans="1:12" hidden="1" outlineLevel="1" x14ac:dyDescent="0.35">
      <c r="A1162" s="483"/>
      <c r="B1162" s="770" t="s">
        <v>2122</v>
      </c>
      <c r="C1162" s="730"/>
      <c r="D1162" s="742"/>
      <c r="E1162" s="729"/>
      <c r="F1162" s="729"/>
      <c r="G1162" s="748"/>
      <c r="H1162" s="730"/>
      <c r="I1162" s="734"/>
      <c r="J1162" s="732"/>
      <c r="K1162" s="730"/>
      <c r="L1162" s="733"/>
    </row>
    <row r="1163" spans="1:12" hidden="1" outlineLevel="1" x14ac:dyDescent="0.35">
      <c r="A1163" s="483"/>
      <c r="B1163" s="770" t="s">
        <v>2122</v>
      </c>
      <c r="C1163" s="730"/>
      <c r="D1163" s="742"/>
      <c r="E1163" s="729"/>
      <c r="F1163" s="729"/>
      <c r="G1163" s="748"/>
      <c r="H1163" s="730"/>
      <c r="I1163" s="734"/>
      <c r="J1163" s="732"/>
      <c r="K1163" s="730"/>
      <c r="L1163" s="733"/>
    </row>
    <row r="1164" spans="1:12" hidden="1" outlineLevel="1" x14ac:dyDescent="0.35">
      <c r="A1164" s="483"/>
      <c r="B1164" s="770" t="s">
        <v>2122</v>
      </c>
      <c r="C1164" s="730"/>
      <c r="D1164" s="742"/>
      <c r="E1164" s="729"/>
      <c r="F1164" s="729"/>
      <c r="G1164" s="748"/>
      <c r="H1164" s="730"/>
      <c r="I1164" s="734"/>
      <c r="J1164" s="732"/>
      <c r="K1164" s="730"/>
      <c r="L1164" s="733"/>
    </row>
    <row r="1165" spans="1:12" hidden="1" outlineLevel="1" x14ac:dyDescent="0.35">
      <c r="A1165" s="483"/>
      <c r="B1165" s="770" t="s">
        <v>2122</v>
      </c>
      <c r="C1165" s="730"/>
      <c r="D1165" s="742"/>
      <c r="E1165" s="729"/>
      <c r="F1165" s="729"/>
      <c r="G1165" s="748"/>
      <c r="H1165" s="730"/>
      <c r="I1165" s="734"/>
      <c r="J1165" s="732"/>
      <c r="K1165" s="730"/>
      <c r="L1165" s="733"/>
    </row>
    <row r="1166" spans="1:12" hidden="1" outlineLevel="1" x14ac:dyDescent="0.35">
      <c r="A1166" s="483"/>
      <c r="B1166" s="770" t="s">
        <v>2122</v>
      </c>
      <c r="C1166" s="730"/>
      <c r="D1166" s="742"/>
      <c r="E1166" s="729"/>
      <c r="F1166" s="729"/>
      <c r="G1166" s="748"/>
      <c r="H1166" s="730"/>
      <c r="I1166" s="734"/>
      <c r="J1166" s="732"/>
      <c r="K1166" s="730"/>
      <c r="L1166" s="733"/>
    </row>
    <row r="1167" spans="1:12" hidden="1" outlineLevel="1" x14ac:dyDescent="0.35">
      <c r="A1167" s="483"/>
      <c r="B1167" s="770" t="s">
        <v>2122</v>
      </c>
      <c r="C1167" s="730"/>
      <c r="D1167" s="742"/>
      <c r="E1167" s="729"/>
      <c r="F1167" s="729"/>
      <c r="G1167" s="748"/>
      <c r="H1167" s="730"/>
      <c r="I1167" s="734"/>
      <c r="J1167" s="732"/>
      <c r="K1167" s="730"/>
      <c r="L1167" s="733"/>
    </row>
    <row r="1168" spans="1:12" hidden="1" outlineLevel="1" x14ac:dyDescent="0.35">
      <c r="A1168" s="483"/>
      <c r="B1168" s="770" t="s">
        <v>2122</v>
      </c>
      <c r="C1168" s="730"/>
      <c r="D1168" s="742"/>
      <c r="E1168" s="729"/>
      <c r="F1168" s="729"/>
      <c r="G1168" s="748"/>
      <c r="H1168" s="730"/>
      <c r="I1168" s="734"/>
      <c r="J1168" s="732"/>
      <c r="K1168" s="730"/>
      <c r="L1168" s="733"/>
    </row>
    <row r="1169" spans="1:12" hidden="1" outlineLevel="1" x14ac:dyDescent="0.35">
      <c r="A1169" s="483"/>
      <c r="B1169" s="770" t="s">
        <v>2122</v>
      </c>
      <c r="C1169" s="730"/>
      <c r="D1169" s="742"/>
      <c r="E1169" s="729"/>
      <c r="F1169" s="729"/>
      <c r="G1169" s="748"/>
      <c r="H1169" s="730"/>
      <c r="I1169" s="734"/>
      <c r="J1169" s="732"/>
      <c r="K1169" s="730"/>
      <c r="L1169" s="733"/>
    </row>
    <row r="1170" spans="1:12" hidden="1" outlineLevel="1" x14ac:dyDescent="0.35">
      <c r="A1170" s="483"/>
      <c r="B1170" s="770" t="s">
        <v>2122</v>
      </c>
      <c r="C1170" s="730"/>
      <c r="D1170" s="742"/>
      <c r="E1170" s="729"/>
      <c r="F1170" s="729"/>
      <c r="G1170" s="748"/>
      <c r="H1170" s="730"/>
      <c r="I1170" s="734"/>
      <c r="J1170" s="732"/>
      <c r="K1170" s="730"/>
      <c r="L1170" s="733"/>
    </row>
    <row r="1171" spans="1:12" hidden="1" outlineLevel="1" x14ac:dyDescent="0.35">
      <c r="A1171" s="483"/>
      <c r="B1171" s="770" t="s">
        <v>2122</v>
      </c>
      <c r="C1171" s="730"/>
      <c r="D1171" s="742"/>
      <c r="E1171" s="729"/>
      <c r="F1171" s="729"/>
      <c r="G1171" s="748"/>
      <c r="H1171" s="730"/>
      <c r="I1171" s="734"/>
      <c r="J1171" s="732"/>
      <c r="K1171" s="730"/>
      <c r="L1171" s="733"/>
    </row>
    <row r="1172" spans="1:12" ht="15" hidden="1" outlineLevel="1" thickBot="1" x14ac:dyDescent="0.4">
      <c r="A1172" s="483"/>
      <c r="B1172" s="771" t="s">
        <v>2122</v>
      </c>
      <c r="C1172" s="735"/>
      <c r="D1172" s="749"/>
      <c r="E1172" s="750"/>
      <c r="F1172" s="750"/>
      <c r="G1172" s="751"/>
      <c r="H1172" s="735"/>
      <c r="I1172" s="737"/>
      <c r="J1172" s="738"/>
      <c r="K1172" s="735"/>
      <c r="L1172" s="739"/>
    </row>
    <row r="1173" spans="1:12" ht="15" collapsed="1" thickTop="1" x14ac:dyDescent="0.35">
      <c r="B1173" s="2"/>
    </row>
  </sheetData>
  <mergeCells count="5">
    <mergeCell ref="S2:U2"/>
    <mergeCell ref="S3:U3"/>
    <mergeCell ref="N2:Q2"/>
    <mergeCell ref="N3:Q3"/>
    <mergeCell ref="C74:I74"/>
  </mergeCells>
  <phoneticPr fontId="55" type="noConversion"/>
  <dataValidations count="37">
    <dataValidation type="textLength" errorStyle="warning" operator="equal" allowBlank="1" showInputMessage="1" showErrorMessage="1" errorTitle="Validación de datos" error="Debe ingresar los 3 caracteres correspondientes, que indiquen sus establecimientos activos en el SRI" sqref="D10:I19 H21:I21 E21:F21 D22:I22" xr:uid="{00000000-0002-0000-0000-000001000000}">
      <formula1>3</formula1>
    </dataValidation>
    <dataValidation type="list" allowBlank="1" showInputMessage="1" showErrorMessage="1" sqref="D24" xr:uid="{323ED74D-8366-441C-A586-5FDA5E93644B}">
      <formula1>"SERVER_1,SERVER_2,SERVER_3"</formula1>
    </dataValidation>
    <dataValidation type="list" allowBlank="1" showInputMessage="1" showErrorMessage="1" errorTitle="SRI Anexos" error="Debe ingresar un valor correcto para el Tipo de Ambiente" sqref="D46" xr:uid="{1CFCDE35-BA82-4124-91FE-C1E267D75A2E}">
      <formula1>"1-PRUEBAS,2-PRODUCCION"</formula1>
    </dataValidation>
    <dataValidation type="textLength" operator="lessThanOrEqual" allowBlank="1" showInputMessage="1" showErrorMessage="1" errorTitle="FactelExcel" error="Debe ingresar un valor correcto para el Nombre Comercial" sqref="D35:I35" xr:uid="{C8CF2882-8C1C-44B6-8859-A2A775971E28}">
      <formula1>300</formula1>
    </dataValidation>
    <dataValidation type="list" allowBlank="1" showInputMessage="1" showErrorMessage="1" sqref="JC99:JE99 SY99:TA99 ACU99:ACW99 AMQ99:AMS99 AWM99:AWO99 BGI99:BGK99 BQE99:BQG99 CAA99:CAC99 CJW99:CJY99 CTS99:CTU99 DDO99:DDQ99 DNK99:DNM99 DXG99:DXI99 EHC99:EHE99 EQY99:ERA99 FAU99:FAW99 FKQ99:FKS99 FUM99:FUO99 GEI99:GEK99 GOE99:GOG99 GYA99:GYC99 HHW99:HHY99 HRS99:HRU99 IBO99:IBQ99 ILK99:ILM99 IVG99:IVI99 JFC99:JFE99 JOY99:JPA99 JYU99:JYW99 KIQ99:KIS99 KSM99:KSO99 LCI99:LCK99 LME99:LMG99 LWA99:LWC99 MFW99:MFY99 MPS99:MPU99 MZO99:MZQ99 NJK99:NJM99 NTG99:NTI99 ODC99:ODE99 OMY99:ONA99 OWU99:OWW99 PGQ99:PGS99 PQM99:PQO99 QAI99:QAK99 QKE99:QKG99 QUA99:QUC99 RDW99:RDY99 RNS99:RNU99 RXO99:RXQ99 SHK99:SHM99 SRG99:SRI99 TBC99:TBE99 TKY99:TLA99 TUU99:TUW99 UEQ99:UES99 UOM99:UOO99 UYI99:UYK99 VIE99:VIG99 VSA99:VSC99 WBW99:WBY99 WLS99:WLU99 WLS63:WLU75 WVO99:WVQ99 WBW89:WBY95 VSA89:VSC95 VIE89:VIG95 UYI89:UYK95 UOM89:UOO95 UEQ89:UES95 TUU89:TUW95 TKY89:TLA95 TBC89:TBE95 SRG89:SRI95 SHK89:SHM95 RXO89:RXQ95 RNS89:RNU95 RDW89:RDY95 QUA89:QUC95 QKE89:QKG95 QAI89:QAK95 PQM89:PQO95 PGQ89:PGS95 OWU89:OWW95 OMY89:ONA95 ODC89:ODE95 NTG89:NTI95 NJK89:NJM95 MZO89:MZQ95 MPS89:MPU95 MFW89:MFY95 LWA89:LWC95 LME89:LMG95 LCI89:LCK95 KSM89:KSO95 KIQ89:KIS95 JYU89:JYW95 JOY89:JPA95 JFC89:JFE95 IVG89:IVI95 ILK89:ILM95 IBO89:IBQ95 HRS89:HRU95 HHW89:HHY95 GYA89:GYC95 GOE89:GOG95 GEI89:GEK95 FUM89:FUO95 FKQ89:FKS95 FAU89:FAW95 EQY89:ERA95 EHC89:EHE95 DXG89:DXI95 DNK89:DNM95 DDO89:DDQ95 CTS89:CTU95 CJW89:CJY95 CAA89:CAC95 BQE89:BQG95 BGI89:BGK95 AWM89:AWO95 AMQ89:AMS95 ACU89:ACW95 SY89:TA95 JC89:JE95 WVO89:WVQ95 WLS89:WLU95 WVO63:WVQ75 JC63:JE75 SY63:TA75 ACU63:ACW75 AMQ63:AMS75 AWM63:AWO75 BGI63:BGK75 BQE63:BQG75 CAA63:CAC75 CJW63:CJY75 CTS63:CTU75 DDO63:DDQ75 DNK63:DNM75 DXG63:DXI75 EHC63:EHE75 EQY63:ERA75 FAU63:FAW75 FKQ63:FKS75 FUM63:FUO75 GEI63:GEK75 GOE63:GOG75 GYA63:GYC75 HHW63:HHY75 HRS63:HRU75 IBO63:IBQ75 ILK63:ILM75 IVG63:IVI75 JFC63:JFE75 JOY63:JPA75 JYU63:JYW75 KIQ63:KIS75 KSM63:KSO75 LCI63:LCK75 LME63:LMG75 LWA63:LWC75 MFW63:MFY75 MPS63:MPU75 MZO63:MZQ75 NJK63:NJM75 NTG63:NTI75 ODC63:ODE75 OMY63:ONA75 OWU63:OWW75 PGQ63:PGS75 PQM63:PQO75 QAI63:QAK75 QKE63:QKG75 QUA63:QUC75 RDW63:RDY75 RNS63:RNU75 RXO63:RXQ75 SHK63:SHM75 SRG63:SRI75 TBC63:TBE75 TKY63:TLA75 TUU63:TUW75 UEQ63:UES75 UOM63:UOO75 UYI63:UYK75 VIE63:VIG75 VSA63:VSC75 WBW63:WBY75 WBW80:WBY82 VSA80:VSC82 VIE80:VIG82 UYI80:UYK82 UOM80:UOO82 UEQ80:UES82 TUU80:TUW82 TKY80:TLA82 TBC80:TBE82 SRG80:SRI82 SHK80:SHM82 RXO80:RXQ82 RNS80:RNU82 RDW80:RDY82 QUA80:QUC82 QKE80:QKG82 QAI80:QAK82 PQM80:PQO82 PGQ80:PGS82 OWU80:OWW82 OMY80:ONA82 ODC80:ODE82 NTG80:NTI82 NJK80:NJM82 MZO80:MZQ82 MPS80:MPU82 MFW80:MFY82 LWA80:LWC82 LME80:LMG82 LCI80:LCK82 KSM80:KSO82 KIQ80:KIS82 JYU80:JYW82 JOY80:JPA82 JFC80:JFE82 IVG80:IVI82 ILK80:ILM82 IBO80:IBQ82 HRS80:HRU82 HHW80:HHY82 GYA80:GYC82 GOE80:GOG82 GEI80:GEK82 FUM80:FUO82 FKQ80:FKS82 FAU80:FAW82 EQY80:ERA82 EHC80:EHE82 DXG80:DXI82 DNK80:DNM82 DDO80:DDQ82 CTS80:CTU82 CJW80:CJY82 CAA80:CAC82 BQE80:BQG82 BGI80:BGK82 AWM80:AWO82 AMQ80:AMS82 ACU80:ACW82 SY80:TA82 JC80:JE82 WVO80:WVQ82 WLS80:WLU82" xr:uid="{7F9B1A12-0126-430E-8590-04A9EB5A7A14}">
      <formula1>"1-Guardar XML,2-Guardar y Firmar XML,3-Guardar Firmar y Enviar al SRI"</formula1>
    </dataValidation>
    <dataValidation type="list" allowBlank="1" showInputMessage="1" showErrorMessage="1" sqref="D83:D84" xr:uid="{72D53933-471E-4258-A304-8A0DFCDE8FD1}">
      <formula1>pagos</formula1>
    </dataValidation>
    <dataValidation type="list" allowBlank="1" showInputMessage="1" showErrorMessage="1" sqref="D20" xr:uid="{C64FE39B-B1AC-42BB-943E-F8F5BE939F27}">
      <formula1>"2016,2017,2018,2019,2020,2021,2022,2023,2024,2025,2026"</formula1>
    </dataValidation>
    <dataValidation type="textLength" allowBlank="1" showInputMessage="1" showErrorMessage="1" errorTitle="FactelExcel" error="Debe ingresar un valor correcto para No. Resolucion Contribuyente Especial" sqref="D46" xr:uid="{BFB82442-C1AB-48A6-9088-12AA4FA335CD}">
      <formula1>3</formula1>
      <formula2>5</formula2>
    </dataValidation>
    <dataValidation type="list" allowBlank="1" showInputMessage="1" showErrorMessage="1" errorTitle="FactelExcel" error="Debe ingresar un valor correcto para esta celda" sqref="D46" xr:uid="{C6D0369D-BD84-4155-9C47-83C5F9D9440D}">
      <formula1>"SI,NO"</formula1>
    </dataValidation>
    <dataValidation type="textLength" operator="lessThanOrEqual" allowBlank="1" showInputMessage="1" showErrorMessage="1" errorTitle="FactelExcel" error="Debe ingresar un valor correcto para la Direccion Matriz" sqref="D46 D67 D36:I38" xr:uid="{E0762E23-8A6B-4096-8989-45DE0FA0639E}">
      <formula1>300</formula1>
    </dataValidation>
    <dataValidation type="list" allowBlank="1" showInputMessage="1" showErrorMessage="1" errorTitle="SRI Anexos" error="Debe ingresar un valor correcto para esta celda" sqref="D92:D94 D72 D66 D42:D43 D64 D79:D82" xr:uid="{F18567D5-1ECC-4867-B5A1-9CFF9DFA24B2}">
      <formula1>"SI,NO"</formula1>
    </dataValidation>
    <dataValidation type="list" operator="lessThanOrEqual" allowBlank="1" showInputMessage="1" showErrorMessage="1" errorTitle="FactelExcel" error="Debe ingresar un valor correcto para la Direccion Matriz" sqref="D92:D94 D72 D66 D42:D43 D64 D79:D82" xr:uid="{0BF545BC-0328-476F-AD6F-9E289E0C2765}">
      <formula1>"SI, NO"</formula1>
    </dataValidation>
    <dataValidation type="list" allowBlank="1" showInputMessage="1" showErrorMessage="1" errorTitle="SRI Anexos" error="Debe ingresar un valor correcto para esta celda" sqref="D92 D83:D84" xr:uid="{8707DA35-8061-4A30-9C3E-343A5980D7AB}">
      <formula1>"Version 1.0.0, Version 2.0.0"</formula1>
    </dataValidation>
    <dataValidation type="list" operator="lessThanOrEqual" allowBlank="1" showInputMessage="1" showErrorMessage="1" errorTitle="FactelExcel" error="Debe ingresar un valor correcto para la Direccion Matriz" sqref="D92 D83:D84" xr:uid="{F22CCB5A-3942-42DC-8CAE-300F24078DA4}">
      <formula1>"Version1.0,Version2.0"</formula1>
    </dataValidation>
    <dataValidation type="list" allowBlank="1" showInputMessage="1" showErrorMessage="1" sqref="D76:D77" xr:uid="{50508C53-A1CE-4A12-9D6A-E1B69BAF159B}">
      <formula1>"2,3,4,5,6"</formula1>
    </dataValidation>
    <dataValidation type="list" allowBlank="1" showInputMessage="1" showErrorMessage="1" errorTitle="SRI Anexos" error="Debe ingresar un valor correcto para esta celda" sqref="D78" xr:uid="{AE9601CF-17C4-4B99-9D7A-28EA792D11F6}">
      <formula1>"SI,NO,Preguntar,Previsualizar"</formula1>
    </dataValidation>
    <dataValidation type="list" operator="lessThanOrEqual" allowBlank="1" showInputMessage="1" showErrorMessage="1" errorTitle="SRI Anexos" error="Debe ingresar un valor correcto para la Direccion Matriz" sqref="D78" xr:uid="{CD710C18-6563-4266-9B08-6FA314E36E5D}">
      <formula1>"SI, NO, Preguntar"</formula1>
    </dataValidation>
    <dataValidation type="textLength" operator="equal" allowBlank="1" showInputMessage="1" showErrorMessage="1" errorTitle="FactelExcel" error="Debe ingresar un valor correcto para el Codigo de Establecimiento" sqref="D46" xr:uid="{5630761A-15A1-412F-9E54-A399F8817124}">
      <formula1>7</formula1>
    </dataValidation>
    <dataValidation type="list" allowBlank="1" showInputMessage="1" showErrorMessage="1" errorTitle="SRI Anexos" error="Debe ingresar un valor correcto para esta celda" sqref="D65" xr:uid="{BA7DE827-D232-46F7-AD63-92B94DC972CD}">
      <formula1>"MS-OUTLOOK,EMPRESARIAL"</formula1>
    </dataValidation>
    <dataValidation type="list" operator="lessThanOrEqual" allowBlank="1" showInputMessage="1" showErrorMessage="1" errorTitle="FactelExcel" error="Debe ingresar un valor correcto para la Direccion Matriz" sqref="D65" xr:uid="{8226BD34-FD06-49BF-A357-92AD6441688B}">
      <formula1>"CorreoOutlook,ServidorEmpresarial"</formula1>
    </dataValidation>
    <dataValidation type="list" allowBlank="1" showInputMessage="1" showErrorMessage="1" sqref="D49" xr:uid="{32CA2B99-97F0-4B67-809F-797B7F15010E}">
      <formula1>"NORMAL01a,NORMAL01b,NORMAL01c"</formula1>
    </dataValidation>
    <dataValidation type="list" allowBlank="1" showInputMessage="1" showErrorMessage="1" sqref="D50" xr:uid="{3E4CA381-FBA6-4125-A8D2-C69AF977FFF9}">
      <formula1>"RIDE01a,RIDE01b,RIDE01c"</formula1>
    </dataValidation>
    <dataValidation type="list" allowBlank="1" showInputMessage="1" showErrorMessage="1" sqref="E49" xr:uid="{9D7D0D75-035E-438B-AC73-C1BED6DB030A}">
      <formula1>"NORMAL03a,NORMAL03b,NORMAL03c"</formula1>
    </dataValidation>
    <dataValidation type="list" allowBlank="1" showInputMessage="1" showErrorMessage="1" sqref="E50" xr:uid="{9B892992-011E-4CB5-A890-44984BB0598B}">
      <formula1>"RIDE03a,RIDE03b,RIDE03c"</formula1>
    </dataValidation>
    <dataValidation type="list" allowBlank="1" showInputMessage="1" showErrorMessage="1" sqref="F49" xr:uid="{C73A3CE3-87AC-455B-A9A2-2BFF6BC28A44}">
      <formula1>"NORMAL04a,NORMAL04b,NORMAL04c"</formula1>
    </dataValidation>
    <dataValidation type="list" allowBlank="1" showInputMessage="1" showErrorMessage="1" sqref="F50" xr:uid="{749B50F6-CF08-4D19-8F98-419CCFE4408F}">
      <formula1>"RIDE04a,RIDE04b,RIDE04c"</formula1>
    </dataValidation>
    <dataValidation type="list" allowBlank="1" showInputMessage="1" showErrorMessage="1" sqref="G49" xr:uid="{BE8C4A9F-707B-4A33-806B-FFFA96CF8C6D}">
      <formula1>"NORMAL05a,NORMAL05b,NORMAL05c"</formula1>
    </dataValidation>
    <dataValidation type="list" allowBlank="1" showInputMessage="1" showErrorMessage="1" sqref="G50" xr:uid="{27209F9A-70D1-4119-A143-2297DE36CFB5}">
      <formula1>"RIDE05a,RIDE05b,RIDE05c"</formula1>
    </dataValidation>
    <dataValidation type="list" allowBlank="1" showInputMessage="1" showErrorMessage="1" sqref="H49" xr:uid="{02B728C7-8081-4ABD-8950-47CD3B2CBF83}">
      <formula1>"NORMAL07a,NORMAL07b,NORMAL07c"</formula1>
    </dataValidation>
    <dataValidation type="list" allowBlank="1" showInputMessage="1" showErrorMessage="1" sqref="H50" xr:uid="{387B9A1D-83C5-4C72-B4BD-FEBE1AE57A7F}">
      <formula1>"RIDE07a,RIDE07b,RIDE07c"</formula1>
    </dataValidation>
    <dataValidation type="list" allowBlank="1" showInputMessage="1" showErrorMessage="1" sqref="I49" xr:uid="{01ADE4F7-CE1F-4749-B745-2063A42BD41F}">
      <formula1>"NORMAL06a,NORMAL06b,NORMAL06c"</formula1>
    </dataValidation>
    <dataValidation type="list" allowBlank="1" showInputMessage="1" showErrorMessage="1" sqref="I50" xr:uid="{BF083ACC-D420-4CF5-9E4F-E46F0CD2A09B}">
      <formula1>"RIDE06a,RIDE06b,RIDE06c"</formula1>
    </dataValidation>
    <dataValidation type="list" allowBlank="1" showInputMessage="1" showErrorMessage="1" sqref="D21" xr:uid="{2F900DC5-53FB-4BFB-8F85-329C24463F32}">
      <formula1>"MENSUAL,SEMESTRAL"</formula1>
    </dataValidation>
    <dataValidation type="list" allowBlank="1" showInputMessage="1" showErrorMessage="1" errorTitle="SRI Anexos" error="Debe ingresar un valor correcto para esta celda" sqref="D39 D42:D43" xr:uid="{167B81D2-3D27-4741-BEFC-A08E5B834714}">
      <formula1>"GENERAL,RIMPE EMPRENDEDOR,RIMPE NEGOCIO POPULAR,MICROEMPRESA"</formula1>
    </dataValidation>
    <dataValidation type="list" operator="lessThanOrEqual" allowBlank="1" showInputMessage="1" showErrorMessage="1" errorTitle="FactelExcel" error="Debe ingresar un valor correcto para la Direccion Matriz" sqref="D39 D42:D43" xr:uid="{7ECF58FF-1E5C-4115-B7D8-6DD6E45DB5D2}">
      <formula1>"GENERAL,RIMPE,MICROEMPRESA"</formula1>
    </dataValidation>
    <dataValidation type="list" allowBlank="1" showInputMessage="1" showErrorMessage="1" sqref="H1110:H1121" xr:uid="{E8EA143F-CC24-494B-9570-6813D351147B}">
      <formula1>"SI,NO"</formula1>
    </dataValidation>
    <dataValidation type="list" allowBlank="1" showInputMessage="1" showErrorMessage="1" sqref="F125:F134" xr:uid="{5DD2CEEB-D74E-4DCE-8FA3-753C277A863F}">
      <formula1>"IVA-NOR,IVA-NOR*,IVA-ESP,IVA-ESP*,IVA-CONS,IVA-CONS*"</formula1>
    </dataValidation>
  </dataValidations>
  <hyperlinks>
    <hyperlink ref="D67" r:id="rId1" xr:uid="{C1F39D30-E442-4A5E-9FB5-64018C117100}"/>
    <hyperlink ref="D70" r:id="rId2" xr:uid="{29A7A8F5-0011-4273-9823-1F28B505BAE4}"/>
    <hyperlink ref="D38" r:id="rId3" xr:uid="{4834CB21-5B57-45AD-80F2-61D113109113}"/>
  </hyperlinks>
  <pageMargins left="0.7" right="0.7" top="0.75" bottom="0.75" header="0.3" footer="0.3"/>
  <pageSetup paperSize="9" orientation="portrait"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391D04-9B93-4AE0-80B7-2447E5BB7B78}">
  <sheetPr codeName="Hoja17">
    <pageSetUpPr fitToPage="1"/>
  </sheetPr>
  <dimension ref="A1:AW414"/>
  <sheetViews>
    <sheetView showGridLines="0" zoomScale="85" zoomScaleNormal="85" workbookViewId="0">
      <pane xSplit="6" ySplit="3" topLeftCell="G4" activePane="bottomRight" state="frozen"/>
      <selection activeCell="T11" sqref="T11"/>
      <selection pane="topRight" activeCell="T11" sqref="T11"/>
      <selection pane="bottomLeft" activeCell="T11" sqref="T11"/>
      <selection pane="bottomRight" activeCell="G4" sqref="G4"/>
    </sheetView>
  </sheetViews>
  <sheetFormatPr baseColWidth="10" defaultColWidth="11.453125" defaultRowHeight="12.5" outlineLevelRow="1" outlineLevelCol="2" x14ac:dyDescent="0.25"/>
  <cols>
    <col min="1" max="1" width="1.1796875" style="263" customWidth="1"/>
    <col min="2" max="2" width="10.54296875" style="263" customWidth="1"/>
    <col min="3" max="3" width="10" style="263" customWidth="1"/>
    <col min="4" max="4" width="0.54296875" style="263" customWidth="1"/>
    <col min="5" max="5" width="11.1796875" style="263" hidden="1" customWidth="1" outlineLevel="1"/>
    <col min="6" max="6" width="11.81640625" style="263" hidden="1" customWidth="1" outlineLevel="1"/>
    <col min="7" max="7" width="13.81640625" style="263" customWidth="1" collapsed="1"/>
    <col min="8" max="8" width="12" style="263" hidden="1" customWidth="1" outlineLevel="1"/>
    <col min="9" max="9" width="10.453125" style="263" hidden="1" customWidth="1" outlineLevel="1"/>
    <col min="10" max="10" width="11.453125" style="263" customWidth="1" collapsed="1"/>
    <col min="11" max="11" width="13.81640625" style="263" customWidth="1"/>
    <col min="12" max="12" width="12.7265625" style="263" hidden="1" customWidth="1" outlineLevel="1"/>
    <col min="13" max="13" width="10.81640625" style="263" hidden="1" customWidth="1" outlineLevel="1"/>
    <col min="14" max="14" width="2" style="263" customWidth="1" collapsed="1"/>
    <col min="15" max="15" width="10.81640625" style="263" hidden="1" customWidth="1" outlineLevel="1"/>
    <col min="16" max="16" width="12.453125" style="263" hidden="1" customWidth="1" outlineLevel="1"/>
    <col min="17" max="17" width="13.81640625" style="263" customWidth="1" collapsed="1"/>
    <col min="18" max="18" width="12.54296875" style="263" hidden="1" customWidth="1" outlineLevel="1"/>
    <col min="19" max="20" width="10.81640625" style="263" hidden="1" customWidth="1" outlineLevel="1"/>
    <col min="21" max="21" width="12.1796875" style="263" customWidth="1" collapsed="1"/>
    <col min="22" max="22" width="13.81640625" style="263" customWidth="1"/>
    <col min="23" max="23" width="10.81640625" style="263" customWidth="1" outlineLevel="1"/>
    <col min="24" max="25" width="9.54296875" style="263" customWidth="1" outlineLevel="1"/>
    <col min="26" max="26" width="2.1796875" style="263" customWidth="1"/>
    <col min="27" max="27" width="8.81640625" style="263" customWidth="1" outlineLevel="1"/>
    <col min="28" max="28" width="12.1796875" style="263" customWidth="1" outlineLevel="1"/>
    <col min="29" max="30" width="12.1796875" style="263" customWidth="1" outlineLevel="2"/>
    <col min="31" max="32" width="10.81640625" style="263" customWidth="1" outlineLevel="1"/>
    <col min="33" max="33" width="11.453125" style="263" customWidth="1" outlineLevel="1"/>
    <col min="34" max="35" width="10.26953125" style="263" customWidth="1" outlineLevel="1"/>
    <col min="36" max="36" width="2" style="263" customWidth="1"/>
    <col min="37" max="37" width="11.453125" style="263"/>
    <col min="38" max="38" width="10.54296875" style="263" customWidth="1"/>
    <col min="39" max="39" width="11.453125" style="263"/>
    <col min="40" max="40" width="2.1796875" style="263" customWidth="1"/>
    <col min="41" max="41" width="12.1796875" style="263" customWidth="1"/>
    <col min="42" max="42" width="10.7265625" style="263" customWidth="1"/>
    <col min="43" max="43" width="11.453125" style="263"/>
    <col min="44" max="44" width="11.81640625" style="263" bestFit="1" customWidth="1"/>
    <col min="45" max="16384" width="11.453125" style="263"/>
  </cols>
  <sheetData>
    <row r="1" spans="2:49" ht="27.75" customHeight="1" x14ac:dyDescent="0.45">
      <c r="B1" s="283" t="str">
        <f>Parametros!D4&amp;" - " &amp; Parametros!D5</f>
        <v>1306304542001 - VELIZ NAPA JAVIER</v>
      </c>
      <c r="C1" s="284"/>
      <c r="D1" s="284"/>
      <c r="E1" s="284"/>
      <c r="F1" s="284"/>
      <c r="G1" s="284"/>
      <c r="H1" s="284"/>
      <c r="I1" s="284"/>
      <c r="J1" s="284"/>
      <c r="K1" s="284"/>
      <c r="L1" s="284"/>
      <c r="M1" s="284"/>
      <c r="N1" s="285"/>
      <c r="O1" s="284"/>
      <c r="AO1" s="935" t="s">
        <v>1518</v>
      </c>
      <c r="AP1" s="935"/>
    </row>
    <row r="2" spans="2:49" s="286" customFormat="1" ht="22.5" customHeight="1" x14ac:dyDescent="0.45">
      <c r="B2" s="284"/>
      <c r="C2" s="284"/>
      <c r="D2" s="284"/>
      <c r="E2" s="943" t="s">
        <v>1190</v>
      </c>
      <c r="F2" s="943"/>
      <c r="G2" s="943"/>
      <c r="H2" s="943"/>
      <c r="I2" s="943"/>
      <c r="J2" s="943"/>
      <c r="K2" s="943"/>
      <c r="L2" s="944" t="s">
        <v>1191</v>
      </c>
      <c r="M2" s="938" t="s">
        <v>1192</v>
      </c>
      <c r="N2" s="284"/>
      <c r="O2" s="943" t="s">
        <v>1193</v>
      </c>
      <c r="P2" s="943"/>
      <c r="Q2" s="943"/>
      <c r="R2" s="943"/>
      <c r="S2" s="943"/>
      <c r="T2" s="943"/>
      <c r="U2" s="943"/>
      <c r="V2" s="943"/>
      <c r="W2" s="938" t="s">
        <v>1194</v>
      </c>
      <c r="X2" s="938" t="s">
        <v>1195</v>
      </c>
      <c r="Y2" s="938" t="s">
        <v>2086</v>
      </c>
      <c r="Z2" s="263"/>
      <c r="AA2" s="946" t="s">
        <v>1196</v>
      </c>
      <c r="AB2" s="946" t="s">
        <v>1197</v>
      </c>
      <c r="AC2" s="946" t="s">
        <v>1198</v>
      </c>
      <c r="AD2" s="938" t="s">
        <v>1199</v>
      </c>
      <c r="AE2" s="948" t="s">
        <v>1200</v>
      </c>
      <c r="AF2" s="949"/>
      <c r="AG2" s="938" t="s">
        <v>1201</v>
      </c>
      <c r="AH2" s="936" t="s">
        <v>1202</v>
      </c>
      <c r="AI2" s="937"/>
      <c r="AJ2" s="263"/>
      <c r="AK2" s="938" t="s">
        <v>1203</v>
      </c>
      <c r="AL2" s="938" t="s">
        <v>1204</v>
      </c>
      <c r="AM2" s="938" t="s">
        <v>1205</v>
      </c>
      <c r="AN2" s="263"/>
      <c r="AO2" s="940" t="s">
        <v>1509</v>
      </c>
      <c r="AP2" s="941"/>
      <c r="AQ2" s="942"/>
      <c r="AW2"/>
    </row>
    <row r="3" spans="2:49" s="286" customFormat="1" ht="64" customHeight="1" thickBot="1" x14ac:dyDescent="0.5">
      <c r="B3" s="287" t="s">
        <v>1206</v>
      </c>
      <c r="C3" s="288" t="s">
        <v>1207</v>
      </c>
      <c r="D3" s="284"/>
      <c r="E3" s="289" t="s">
        <v>1517</v>
      </c>
      <c r="F3" s="289" t="s">
        <v>1208</v>
      </c>
      <c r="G3" s="289" t="s">
        <v>1209</v>
      </c>
      <c r="H3" s="289" t="s">
        <v>1514</v>
      </c>
      <c r="I3" s="289" t="s">
        <v>1515</v>
      </c>
      <c r="J3" s="290" t="s">
        <v>1516</v>
      </c>
      <c r="K3" s="289" t="s">
        <v>1210</v>
      </c>
      <c r="L3" s="945"/>
      <c r="M3" s="939"/>
      <c r="N3" s="284"/>
      <c r="O3" s="290" t="s">
        <v>1211</v>
      </c>
      <c r="P3" s="290" t="s">
        <v>1212</v>
      </c>
      <c r="Q3" s="290" t="s">
        <v>1213</v>
      </c>
      <c r="R3" s="290" t="s">
        <v>1512</v>
      </c>
      <c r="S3" s="290" t="s">
        <v>1214</v>
      </c>
      <c r="T3" s="290" t="s">
        <v>1215</v>
      </c>
      <c r="U3" s="290" t="s">
        <v>1216</v>
      </c>
      <c r="V3" s="290" t="s">
        <v>1217</v>
      </c>
      <c r="W3" s="939"/>
      <c r="X3" s="939"/>
      <c r="Y3" s="939"/>
      <c r="Z3" s="263"/>
      <c r="AA3" s="947"/>
      <c r="AB3" s="947"/>
      <c r="AC3" s="947"/>
      <c r="AD3" s="939"/>
      <c r="AE3" s="291" t="s">
        <v>1218</v>
      </c>
      <c r="AF3" s="291" t="s">
        <v>1219</v>
      </c>
      <c r="AG3" s="939"/>
      <c r="AH3" s="291" t="s">
        <v>1218</v>
      </c>
      <c r="AI3" s="292" t="s">
        <v>1219</v>
      </c>
      <c r="AJ3" s="263"/>
      <c r="AK3" s="939"/>
      <c r="AL3" s="939"/>
      <c r="AM3" s="939"/>
      <c r="AN3" s="263"/>
      <c r="AO3" s="290" t="s">
        <v>1510</v>
      </c>
      <c r="AP3" s="290" t="s">
        <v>1511</v>
      </c>
      <c r="AQ3" s="461" t="s">
        <v>1513</v>
      </c>
    </row>
    <row r="4" spans="2:49" ht="15" thickBot="1" x14ac:dyDescent="0.4">
      <c r="B4" s="293"/>
      <c r="C4" s="294"/>
      <c r="E4" s="295"/>
      <c r="F4" s="295"/>
      <c r="G4" s="295"/>
      <c r="H4" s="295"/>
      <c r="I4" s="295"/>
      <c r="J4" s="295"/>
      <c r="K4" s="295"/>
      <c r="L4" s="295"/>
      <c r="M4" s="294"/>
      <c r="O4" s="295"/>
      <c r="P4" s="295"/>
      <c r="Q4" s="295"/>
      <c r="R4" s="295"/>
      <c r="S4" s="295"/>
      <c r="T4" s="546"/>
      <c r="U4" s="295"/>
      <c r="V4" s="295"/>
      <c r="W4" s="294"/>
      <c r="X4" s="294"/>
      <c r="Y4" s="294"/>
      <c r="AA4" s="295"/>
      <c r="AB4" s="295"/>
      <c r="AC4" s="295"/>
      <c r="AD4" s="294"/>
      <c r="AE4" s="296">
        <v>0</v>
      </c>
      <c r="AF4" s="296">
        <v>0</v>
      </c>
      <c r="AG4" s="464" t="s">
        <v>1525</v>
      </c>
      <c r="AH4" s="266"/>
      <c r="AI4" s="266"/>
      <c r="AK4" s="266"/>
      <c r="AL4" s="294"/>
      <c r="AM4" s="294"/>
      <c r="AO4" s="295"/>
      <c r="AP4" s="295"/>
      <c r="AQ4" s="294"/>
      <c r="AW4"/>
    </row>
    <row r="5" spans="2:49" ht="14.5" x14ac:dyDescent="0.35">
      <c r="B5" s="297">
        <f>VALUE("01/01/"&amp;XLSperiodo)</f>
        <v>46023</v>
      </c>
      <c r="C5" s="298">
        <f>IF(Parametros!D21="SEMESTRAL","I-Semestre",1)</f>
        <v>1</v>
      </c>
      <c r="D5" s="263">
        <f>SUMIF(VENTAS!BE:BE,MONTH(B5),VENTAS!CA:CA)</f>
        <v>0</v>
      </c>
      <c r="E5" s="299">
        <f>SUMIF(VENTAS!BE:BE,MONTH(B5),VENTAS!BJ:BJ)+SUMIF(EXPORTACIONES!AL:AL,MONTH(B5),EXPORTACIONES!AF:AF)</f>
        <v>0</v>
      </c>
      <c r="F5" s="299">
        <f>SUMIF(VENTAS!BE:BE,MONTH(B5),VENTAS!P:P)+SUMIF(VENTAS!BE:BE,MONTH(B5),VENTAS!S:S)+SUMIF(VENTAS!BE:BE,MONTH(B5),VENTAS!V:V)</f>
        <v>0</v>
      </c>
      <c r="G5" s="300">
        <f t="shared" ref="G5:G16" si="0">E5+F5</f>
        <v>0</v>
      </c>
      <c r="H5" s="300">
        <f>ROUND(SUMIF(VENTAS!BE:BE,MONTH(B5),VENTAS!BK:BK),2)</f>
        <v>0</v>
      </c>
      <c r="I5" s="301">
        <f>ROUND(SUMIF(VENTAS!BE:BE,MONTH(B5),VENTAS!BL:BL),2)</f>
        <v>0</v>
      </c>
      <c r="J5" s="301">
        <f>SUM(H5:I5)</f>
        <v>0</v>
      </c>
      <c r="K5" s="302">
        <f>G5+J5</f>
        <v>0</v>
      </c>
      <c r="L5" s="299">
        <f>SUMIF(VENTAS!BE:BE,MONTH(B5),VENTAS!AR:AR)</f>
        <v>0</v>
      </c>
      <c r="M5" s="299">
        <f>SUMIF(VENTAS!BE:BE,MONTH(B5),VENTAS!AS:AS)</f>
        <v>0</v>
      </c>
      <c r="O5" s="299">
        <f>SUMIF(COMPRAS!DB:DB,MONTH(B5),COMPRAS!DH:DH)</f>
        <v>0</v>
      </c>
      <c r="P5" s="299">
        <f>SUMIF(COMPRAS!DB:DB,MONTH(B5),COMPRAS!X:X)+SUMIF(COMPRAS!DB:DB,MONTH(B5),COMPRAS!AA:AA)+SUMIF(COMPRAS!DB:DB,MONTH(B5),COMPRAS!AD:AD)</f>
        <v>0</v>
      </c>
      <c r="Q5" s="300">
        <f t="shared" ref="Q5:Q16" si="1">O5+P5</f>
        <v>0</v>
      </c>
      <c r="R5" s="299">
        <f>ROUND(SUMIF(COMPRAS!DB:DB,MONTH(B5),COMPRAS!DI:DI),2)</f>
        <v>0</v>
      </c>
      <c r="S5" s="299">
        <f>ROUND(SUMIF(COMPRAS!DB:DB,MONTH(B5),COMPRAS!DJ:DJ),2)</f>
        <v>0</v>
      </c>
      <c r="T5" s="299">
        <f>ROUND(SUMIF(COMPRAS!DB:DB,MONTH(B5),COMPRAS!DK:DK),2)</f>
        <v>0</v>
      </c>
      <c r="U5" s="300">
        <f>SUM(R5:T5)</f>
        <v>0</v>
      </c>
      <c r="V5" s="302">
        <f t="shared" ref="V5:V16" si="2">Q5+U5</f>
        <v>0</v>
      </c>
      <c r="W5" s="299">
        <f>ROUND(SUMIF(COMPRAS!DB:DB,MONTH(B5),COMPRAS!DL:DL),2)</f>
        <v>0</v>
      </c>
      <c r="X5" s="299">
        <f>ROUND(SUMIF(COMPRAS!DB:DB,MONTH(B5),COMPRAS!DN:DN),2)</f>
        <v>0</v>
      </c>
      <c r="Y5" s="299">
        <f>ROUND(SUMIF(COMPRAS!DB:DB,MONTH(B5),COMPRAS!DM:DM),2)</f>
        <v>0</v>
      </c>
      <c r="AA5" s="303">
        <f>IF(C5&lt;&gt;C6,IF(SUMIF(C$5:C5,C5,I$5:I5)&gt;0,ROUND(((SUMIF(C$5:C5,C5,G$5:G5)-SUMIF(C$5:C5,C5,D$5:D5))/SUMIF(C$5:C5,C5,G$5:G5)),4),1),0)</f>
        <v>1</v>
      </c>
      <c r="AB5" s="304">
        <f>IF(C5&lt;&gt;C6,ROUND(SUMIF(C$5:C5,C5,T$5:T5)*AA5,2),0)</f>
        <v>0</v>
      </c>
      <c r="AC5" s="299">
        <f>IF(C5&lt;&gt;C6,IF((SUMIF(C$5:C5,C5,I$5:I5)-SUMIF(C$5:C5,C5,AB$5:AB5))&gt;0,(SUMIF(C$5:C5,C5,I$5:I5)-SUMIF(C$5:C5,C5,AB$5:AB5)),0),0)</f>
        <v>0</v>
      </c>
      <c r="AD5" s="299">
        <f>IF(C5&lt;&gt;C6,IF((SUMIF(C$5:C5,C5,I$5:I5)-SUMIF(C$5:C5,C5,AB$5:AB5))&gt;0,0,(SUMIF(C$5:C5,C5,I$5:I5)-SUMIF(C$5:C5,C5,AB$5:AB5))),0)</f>
        <v>0</v>
      </c>
      <c r="AE5" s="305">
        <f>IF(C5&lt;&gt;C6,AE4,0)</f>
        <v>0</v>
      </c>
      <c r="AF5" s="299">
        <f>IF(C5&lt;&gt;C6,AF4,0)</f>
        <v>0</v>
      </c>
      <c r="AG5" s="299">
        <f>-IF(C5&lt;&gt;C6,SUMIF(C$5:C5,C5,L$5:L5),0)</f>
        <v>0</v>
      </c>
      <c r="AH5" s="299">
        <f>IF(C5&lt;&gt;C6,IF(SUM(AC5:AE5)&lt;0,SUM(AC5:AE5),0),AE4)</f>
        <v>0</v>
      </c>
      <c r="AI5" s="299">
        <f>IF(C5&lt;&gt;C6,IF(SUM(AC5:AE5)&gt;0,IF(SUM(AC5:AG5)&gt;0,0,SUM(AC5:AG5)),SUM(AF5:AG5)),AF4)</f>
        <v>0</v>
      </c>
      <c r="AK5" s="299">
        <f t="shared" ref="AK5:AK16" si="3">IF(C5&lt;&gt;C6,IF(SUM(AC5:AG5)&gt;0,SUM(AC5:AG5),0),0)</f>
        <v>0</v>
      </c>
      <c r="AL5" s="299">
        <f>IF(C5&lt;&gt;C6,SUMIF(C$5:C5,C5,W$5:W5),0)</f>
        <v>0</v>
      </c>
      <c r="AM5" s="300">
        <f t="shared" ref="AM5:AM16" si="4">AK5+AL5</f>
        <v>0</v>
      </c>
      <c r="AO5" s="301">
        <v>0</v>
      </c>
      <c r="AP5" s="301">
        <v>0</v>
      </c>
      <c r="AQ5" s="300">
        <f t="shared" ref="AQ5:AQ16" si="5">AP5+X5</f>
        <v>0</v>
      </c>
      <c r="AW5"/>
    </row>
    <row r="6" spans="2:49" ht="14.5" x14ac:dyDescent="0.35">
      <c r="B6" s="306">
        <f>VALUE("01/02/"&amp;XLSperiodo)</f>
        <v>46054</v>
      </c>
      <c r="C6" s="307">
        <f>IF(ISNUMBER(C5),C5+1,C5)</f>
        <v>2</v>
      </c>
      <c r="D6" s="263">
        <f>SUMIF(VENTAS!BE:BE,MONTH(B6),VENTAS!CA:CA)</f>
        <v>0</v>
      </c>
      <c r="E6" s="308">
        <f>SUMIF(VENTAS!BE:BE,MONTH(B6),VENTAS!BJ:BJ)+SUMIF(EXPORTACIONES!AL:AL,MONTH(B6),EXPORTACIONES!AF:AF)</f>
        <v>0</v>
      </c>
      <c r="F6" s="308">
        <f>SUMIF(VENTAS!BE:BE,MONTH(B6),VENTAS!P:P)+SUMIF(VENTAS!BE:BE,MONTH(B6),VENTAS!S:S)+SUMIF(VENTAS!BE:BE,MONTH(B6),VENTAS!V:V)</f>
        <v>0</v>
      </c>
      <c r="G6" s="309">
        <f t="shared" si="0"/>
        <v>0</v>
      </c>
      <c r="H6" s="309">
        <f>ROUND(SUMIF(VENTAS!BE:BE,MONTH(B6),VENTAS!BK:BK),2)</f>
        <v>0</v>
      </c>
      <c r="I6" s="310">
        <f>ROUND(SUMIF(VENTAS!BE:BE,MONTH(B6),VENTAS!BL:BL),2)</f>
        <v>0</v>
      </c>
      <c r="J6" s="310">
        <f t="shared" ref="J6:J16" si="6">SUM(H6:I6)</f>
        <v>0</v>
      </c>
      <c r="K6" s="311">
        <f t="shared" ref="K6:K16" si="7">G6+J6</f>
        <v>0</v>
      </c>
      <c r="L6" s="308">
        <f>SUMIF(VENTAS!BE:BE,MONTH(B6),VENTAS!AR:AR)</f>
        <v>0</v>
      </c>
      <c r="M6" s="308">
        <f>SUMIF(VENTAS!BE:BE,MONTH(B6),VENTAS!AS:AS)</f>
        <v>0</v>
      </c>
      <c r="O6" s="308">
        <f>SUMIF(COMPRAS!DB:DB,MONTH(B6),COMPRAS!DH:DH)</f>
        <v>0</v>
      </c>
      <c r="P6" s="308">
        <f>SUMIF(COMPRAS!DB:DB,MONTH(B6),COMPRAS!X:X)+SUMIF(COMPRAS!DB:DB,MONTH(B6),COMPRAS!AA:AA)+SUMIF(COMPRAS!DB:DB,MONTH(B6),COMPRAS!AD:AD)</f>
        <v>0</v>
      </c>
      <c r="Q6" s="309">
        <f t="shared" si="1"/>
        <v>0</v>
      </c>
      <c r="R6" s="308">
        <f>ROUND(SUMIF(COMPRAS!DB:DB,MONTH(B6),COMPRAS!DI:DI),2)</f>
        <v>0</v>
      </c>
      <c r="S6" s="308">
        <f>ROUND(SUMIF(COMPRAS!DB:DB,MONTH(B6),COMPRAS!DJ:DJ),2)</f>
        <v>0</v>
      </c>
      <c r="T6" s="308">
        <f>ROUND(SUMIF(COMPRAS!DB:DB,MONTH(B6),COMPRAS!DK:DK),2)</f>
        <v>0</v>
      </c>
      <c r="U6" s="309">
        <f t="shared" ref="U6:U16" si="8">SUM(R6:T6)</f>
        <v>0</v>
      </c>
      <c r="V6" s="311">
        <f t="shared" si="2"/>
        <v>0</v>
      </c>
      <c r="W6" s="308">
        <f>ROUND(SUMIF(COMPRAS!DB:DB,MONTH(B6),COMPRAS!DL:DL),2)</f>
        <v>0</v>
      </c>
      <c r="X6" s="308">
        <f>ROUND(SUMIF(COMPRAS!DB:DB,MONTH(B6),COMPRAS!DN:DN),2)</f>
        <v>0</v>
      </c>
      <c r="Y6" s="308">
        <f>ROUND(SUMIF(COMPRAS!DB:DB,MONTH(B6),COMPRAS!DM:DM),2)</f>
        <v>0</v>
      </c>
      <c r="AA6" s="312">
        <f>IF(C6&lt;&gt;C7,IF(SUMIF(C$5:C6,C6,I$5:I6)&gt;0,ROUND(((SUMIF(C$5:C6,C6,G$5:G6)-SUMIF(C$5:C6,C6,D$5:D6))/SUMIF(C$5:C6,C6,G$5:G6)),4),1),0)</f>
        <v>1</v>
      </c>
      <c r="AB6" s="313">
        <f>IF(C6&lt;&gt;C7,ROUND(SUMIF(C$5:C6,C6,T$5:T6)*AA6,2),0)</f>
        <v>0</v>
      </c>
      <c r="AC6" s="308">
        <f>IF(C6&lt;&gt;C7,IF((SUMIF(C$5:C6,C6,I$5:I6)-SUMIF(C$5:C6,C6,AB$5:AB6))&gt;0,(SUMIF(C$5:C6,C6,I$5:I6)-SUMIF(C$5:C6,C6,AB$5:AB6)),0),0)</f>
        <v>0</v>
      </c>
      <c r="AD6" s="308">
        <f>IF(C6&lt;&gt;C7,IF((SUMIF(C$5:C6,C6,I$5:I6)-SUMIF(C$5:C6,C6,AB$5:AB6))&gt;0,0,(SUMIF(C$5:C6,C6,I$5:I6)-SUMIF(C$5:C6,C6,AB$5:AB6))),0)</f>
        <v>0</v>
      </c>
      <c r="AE6" s="308">
        <f t="shared" ref="AE6:AE16" si="9">IF(C6&lt;&gt;C7,IF(AH5&lt;0,AH5,0),0)</f>
        <v>0</v>
      </c>
      <c r="AF6" s="308">
        <f t="shared" ref="AF6:AF16" si="10">IF(C6&lt;&gt;C7,IF(AI5&lt;0,AI5,0),0)</f>
        <v>0</v>
      </c>
      <c r="AG6" s="308">
        <f>-IF(C6&lt;&gt;C7,SUMIF(C$5:C6,C6,L$5:L6),0)</f>
        <v>0</v>
      </c>
      <c r="AH6" s="308">
        <f t="shared" ref="AH6:AH16" si="11">IF(C6&lt;&gt;C7,IF(SUM(AC6:AE6)&lt;0,SUM(AC6:AE6),0),AH5)</f>
        <v>0</v>
      </c>
      <c r="AI6" s="308">
        <f t="shared" ref="AI6:AI16" si="12">IF(C6&lt;&gt;C7,IF(SUM(AC6:AE6)&gt;0,IF(SUM(AC6:AG6)&gt;0,0,SUM(AC6:AG6)),SUM(AF6:AG6)),AI5)</f>
        <v>0</v>
      </c>
      <c r="AK6" s="308">
        <f t="shared" si="3"/>
        <v>0</v>
      </c>
      <c r="AL6" s="308">
        <f>IF(C6&lt;&gt;C7,SUMIF(C$5:C6,C6,W$5:W6),0)</f>
        <v>0</v>
      </c>
      <c r="AM6" s="309">
        <f t="shared" si="4"/>
        <v>0</v>
      </c>
      <c r="AO6" s="310">
        <v>0</v>
      </c>
      <c r="AP6" s="310">
        <v>0</v>
      </c>
      <c r="AQ6" s="309">
        <f t="shared" si="5"/>
        <v>0</v>
      </c>
      <c r="AW6"/>
    </row>
    <row r="7" spans="2:49" ht="14.5" x14ac:dyDescent="0.35">
      <c r="B7" s="297">
        <f>VALUE("01/03/"&amp;XLSperiodo)</f>
        <v>46082</v>
      </c>
      <c r="C7" s="298">
        <f t="shared" ref="C7:C16" si="13">IF(ISNUMBER(C6),C6+1,C6)</f>
        <v>3</v>
      </c>
      <c r="D7" s="263">
        <f>SUMIF(VENTAS!BE:BE,MONTH(B7),VENTAS!CA:CA)</f>
        <v>0</v>
      </c>
      <c r="E7" s="299">
        <f>SUMIF(VENTAS!BE:BE,MONTH(B7),VENTAS!BJ:BJ)+SUMIF(EXPORTACIONES!AL:AL,MONTH(B7),EXPORTACIONES!AF:AF)</f>
        <v>0</v>
      </c>
      <c r="F7" s="299">
        <f>SUMIF(VENTAS!BE:BE,MONTH(B7),VENTAS!P:P)+SUMIF(VENTAS!BE:BE,MONTH(B7),VENTAS!S:S)+SUMIF(VENTAS!BE:BE,MONTH(B7),VENTAS!V:V)</f>
        <v>0</v>
      </c>
      <c r="G7" s="300">
        <f t="shared" si="0"/>
        <v>0</v>
      </c>
      <c r="H7" s="300">
        <f>ROUND(SUMIF(VENTAS!BE:BE,MONTH(B7),VENTAS!BK:BK),2)</f>
        <v>0</v>
      </c>
      <c r="I7" s="301">
        <f>ROUND(SUMIF(VENTAS!BE:BE,MONTH(B7),VENTAS!BL:BL),2)</f>
        <v>0</v>
      </c>
      <c r="J7" s="301">
        <f t="shared" si="6"/>
        <v>0</v>
      </c>
      <c r="K7" s="302">
        <f t="shared" si="7"/>
        <v>0</v>
      </c>
      <c r="L7" s="299">
        <f>SUMIF(VENTAS!BE:BE,MONTH(B7),VENTAS!AR:AR)</f>
        <v>0</v>
      </c>
      <c r="M7" s="299">
        <f>SUMIF(VENTAS!BE:BE,MONTH(B7),VENTAS!AS:AS)</f>
        <v>0</v>
      </c>
      <c r="O7" s="299">
        <f>SUMIF(COMPRAS!DB:DB,MONTH(B7),COMPRAS!DH:DH)</f>
        <v>0</v>
      </c>
      <c r="P7" s="299">
        <f>SUMIF(COMPRAS!DB:DB,MONTH(B7),COMPRAS!X:X)+SUMIF(COMPRAS!DB:DB,MONTH(B7),COMPRAS!AA:AA)+SUMIF(COMPRAS!DB:DB,MONTH(B7),COMPRAS!AD:AD)</f>
        <v>0</v>
      </c>
      <c r="Q7" s="300">
        <f t="shared" si="1"/>
        <v>0</v>
      </c>
      <c r="R7" s="299">
        <f>ROUND(SUMIF(COMPRAS!DB:DB,MONTH(B7),COMPRAS!DI:DI),2)</f>
        <v>0</v>
      </c>
      <c r="S7" s="299">
        <f>ROUND(SUMIF(COMPRAS!DB:DB,MONTH(B7),COMPRAS!DJ:DJ),2)</f>
        <v>0</v>
      </c>
      <c r="T7" s="299">
        <f>ROUND(SUMIF(COMPRAS!DB:DB,MONTH(B7),COMPRAS!DK:DK),2)</f>
        <v>0</v>
      </c>
      <c r="U7" s="300">
        <f t="shared" si="8"/>
        <v>0</v>
      </c>
      <c r="V7" s="302">
        <f t="shared" si="2"/>
        <v>0</v>
      </c>
      <c r="W7" s="299">
        <f>ROUND(SUMIF(COMPRAS!DB:DB,MONTH(B7),COMPRAS!DL:DL),2)</f>
        <v>0</v>
      </c>
      <c r="X7" s="299">
        <f>ROUND(SUMIF(COMPRAS!DB:DB,MONTH(B7),COMPRAS!DN:DN),2)</f>
        <v>0</v>
      </c>
      <c r="Y7" s="299">
        <f>ROUND(SUMIF(COMPRAS!DB:DB,MONTH(B7),COMPRAS!DM:DM),2)</f>
        <v>0</v>
      </c>
      <c r="AA7" s="303">
        <f>IF(C7&lt;&gt;C8,IF(SUMIF(C$5:C7,C7,I$5:I7)&gt;0,ROUND(((SUMIF(C$5:C7,C7,G$5:G7)-SUMIF(C$5:C7,C7,D$5:D7))/SUMIF(C$5:C7,C7,G$5:G7)),4),1),0)</f>
        <v>1</v>
      </c>
      <c r="AB7" s="304">
        <f>IF(C7&lt;&gt;C8,ROUND(SUMIF(C$5:C7,C7,T$5:T7)*AA7,2),0)</f>
        <v>0</v>
      </c>
      <c r="AC7" s="299">
        <f>IF(C7&lt;&gt;C8,IF((SUMIF(C$5:C7,C7,I$5:I7)-SUMIF(C$5:C7,C7,AB$5:AB7))&gt;0,(SUMIF(C$5:C7,C7,I$5:I7)-SUMIF(C$5:C7,C7,AB$5:AB7)),0),0)</f>
        <v>0</v>
      </c>
      <c r="AD7" s="299">
        <f>IF(C7&lt;&gt;C8,IF((SUMIF(C$5:C7,C7,I$5:I7)-SUMIF(C$5:C7,C7,AB$5:AB7))&gt;0,0,(SUMIF(C$5:C7,C7,I$5:I7)-SUMIF(C$5:C7,C7,AB$5:AB7))),0)</f>
        <v>0</v>
      </c>
      <c r="AE7" s="299">
        <f t="shared" si="9"/>
        <v>0</v>
      </c>
      <c r="AF7" s="299">
        <f t="shared" si="10"/>
        <v>0</v>
      </c>
      <c r="AG7" s="299">
        <f>-IF(C7&lt;&gt;C8,SUMIF(C$5:C7,C7,L$5:L7),0)</f>
        <v>0</v>
      </c>
      <c r="AH7" s="299">
        <f t="shared" si="11"/>
        <v>0</v>
      </c>
      <c r="AI7" s="299">
        <f t="shared" si="12"/>
        <v>0</v>
      </c>
      <c r="AK7" s="299">
        <f t="shared" si="3"/>
        <v>0</v>
      </c>
      <c r="AL7" s="299">
        <f>IF(C7&lt;&gt;C8,SUMIF(C$5:C7,C7,W$5:W7),0)</f>
        <v>0</v>
      </c>
      <c r="AM7" s="300">
        <f t="shared" si="4"/>
        <v>0</v>
      </c>
      <c r="AO7" s="301">
        <v>0</v>
      </c>
      <c r="AP7" s="301">
        <v>0</v>
      </c>
      <c r="AQ7" s="300">
        <f t="shared" si="5"/>
        <v>0</v>
      </c>
      <c r="AW7"/>
    </row>
    <row r="8" spans="2:49" ht="14.5" x14ac:dyDescent="0.35">
      <c r="B8" s="306">
        <f>VALUE("01/04/"&amp;XLSperiodo)</f>
        <v>46113</v>
      </c>
      <c r="C8" s="307">
        <f t="shared" si="13"/>
        <v>4</v>
      </c>
      <c r="D8" s="263">
        <f>SUMIF(VENTAS!BE:BE,MONTH(B8),VENTAS!CA:CA)</f>
        <v>0</v>
      </c>
      <c r="E8" s="308">
        <f>SUMIF(VENTAS!BE:BE,MONTH(B8),VENTAS!BJ:BJ)+SUMIF(EXPORTACIONES!AL:AL,MONTH(B8),EXPORTACIONES!AF:AF)</f>
        <v>0</v>
      </c>
      <c r="F8" s="308">
        <f>SUMIF(VENTAS!BE:BE,MONTH(B8),VENTAS!P:P)+SUMIF(VENTAS!BE:BE,MONTH(B8),VENTAS!S:S)+SUMIF(VENTAS!BE:BE,MONTH(B8),VENTAS!V:V)</f>
        <v>0</v>
      </c>
      <c r="G8" s="309">
        <f t="shared" si="0"/>
        <v>0</v>
      </c>
      <c r="H8" s="309">
        <f>ROUND(SUMIF(VENTAS!BE:BE,MONTH(B8),VENTAS!BK:BK),2)</f>
        <v>0</v>
      </c>
      <c r="I8" s="310">
        <f>ROUND(SUMIF(VENTAS!BE:BE,MONTH(B8),VENTAS!BL:BL),2)</f>
        <v>0</v>
      </c>
      <c r="J8" s="310">
        <f t="shared" si="6"/>
        <v>0</v>
      </c>
      <c r="K8" s="311">
        <f t="shared" si="7"/>
        <v>0</v>
      </c>
      <c r="L8" s="308">
        <f>SUMIF(VENTAS!BE:BE,MONTH(B8),VENTAS!AR:AR)</f>
        <v>0</v>
      </c>
      <c r="M8" s="308">
        <f>SUMIF(VENTAS!BE:BE,MONTH(B8),VENTAS!AS:AS)</f>
        <v>0</v>
      </c>
      <c r="O8" s="308">
        <f>SUMIF(COMPRAS!DB:DB,MONTH(B8),COMPRAS!DH:DH)</f>
        <v>0</v>
      </c>
      <c r="P8" s="308">
        <f>SUMIF(COMPRAS!DB:DB,MONTH(B8),COMPRAS!X:X)+SUMIF(COMPRAS!DB:DB,MONTH(B8),COMPRAS!AA:AA)+SUMIF(COMPRAS!DB:DB,MONTH(B8),COMPRAS!AD:AD)</f>
        <v>0</v>
      </c>
      <c r="Q8" s="309">
        <f t="shared" si="1"/>
        <v>0</v>
      </c>
      <c r="R8" s="308">
        <f>ROUND(SUMIF(COMPRAS!DB:DB,MONTH(B8),COMPRAS!DI:DI),2)</f>
        <v>0</v>
      </c>
      <c r="S8" s="308">
        <f>ROUND(SUMIF(COMPRAS!DB:DB,MONTH(B8),COMPRAS!DJ:DJ),2)</f>
        <v>0</v>
      </c>
      <c r="T8" s="308">
        <f>ROUND(SUMIF(COMPRAS!DB:DB,MONTH(B8),COMPRAS!DK:DK),2)</f>
        <v>0</v>
      </c>
      <c r="U8" s="309">
        <f t="shared" si="8"/>
        <v>0</v>
      </c>
      <c r="V8" s="311">
        <f t="shared" si="2"/>
        <v>0</v>
      </c>
      <c r="W8" s="308">
        <f>ROUND(SUMIF(COMPRAS!DB:DB,MONTH(B8),COMPRAS!DL:DL),2)</f>
        <v>0</v>
      </c>
      <c r="X8" s="308">
        <f>ROUND(SUMIF(COMPRAS!DB:DB,MONTH(B8),COMPRAS!DN:DN),2)</f>
        <v>0</v>
      </c>
      <c r="Y8" s="308">
        <f>ROUND(SUMIF(COMPRAS!DB:DB,MONTH(B8),COMPRAS!DM:DM),2)</f>
        <v>0</v>
      </c>
      <c r="AA8" s="312">
        <f>IF(C8&lt;&gt;C9,IF(SUMIF(C$5:C8,C8,I$5:I8)&gt;0,ROUND(((SUMIF(C$5:C8,C8,G$5:G8)-SUMIF(C$5:C8,C8,D$5:D8))/SUMIF(C$5:C8,C8,G$5:G8)),4),1),0)</f>
        <v>1</v>
      </c>
      <c r="AB8" s="313">
        <f>IF(C8&lt;&gt;C9,ROUND(SUMIF(C$5:C8,C8,T$5:T8)*AA8,2),0)</f>
        <v>0</v>
      </c>
      <c r="AC8" s="308">
        <f>IF(C8&lt;&gt;C9,IF((SUMIF(C$5:C8,C8,I$5:I8)-SUMIF(C$5:C8,C8,AB$5:AB8))&gt;0,(SUMIF(C$5:C8,C8,I$5:I8)-SUMIF(C$5:C8,C8,AB$5:AB8)),0),0)</f>
        <v>0</v>
      </c>
      <c r="AD8" s="308">
        <f>IF(C8&lt;&gt;C9,IF((SUMIF(C$5:C8,C8,I$5:I8)-SUMIF(C$5:C8,C8,AB$5:AB8))&gt;0,0,(SUMIF(C$5:C8,C8,I$5:I8)-SUMIF(C$5:C8,C8,AB$5:AB8))),0)</f>
        <v>0</v>
      </c>
      <c r="AE8" s="308">
        <f t="shared" si="9"/>
        <v>0</v>
      </c>
      <c r="AF8" s="308">
        <f t="shared" si="10"/>
        <v>0</v>
      </c>
      <c r="AG8" s="308">
        <f>-IF(C8&lt;&gt;C9,SUMIF(C$5:C8,C8,L$5:L8),0)</f>
        <v>0</v>
      </c>
      <c r="AH8" s="308">
        <f t="shared" si="11"/>
        <v>0</v>
      </c>
      <c r="AI8" s="308">
        <f t="shared" si="12"/>
        <v>0</v>
      </c>
      <c r="AK8" s="308">
        <f t="shared" si="3"/>
        <v>0</v>
      </c>
      <c r="AL8" s="308">
        <f>IF(C8&lt;&gt;C9,SUMIF(C$5:C8,C8,W$5:W8),0)</f>
        <v>0</v>
      </c>
      <c r="AM8" s="309">
        <f t="shared" si="4"/>
        <v>0</v>
      </c>
      <c r="AO8" s="310">
        <v>0</v>
      </c>
      <c r="AP8" s="310">
        <v>0</v>
      </c>
      <c r="AQ8" s="309">
        <f t="shared" si="5"/>
        <v>0</v>
      </c>
      <c r="AW8"/>
    </row>
    <row r="9" spans="2:49" ht="14.5" x14ac:dyDescent="0.35">
      <c r="B9" s="297">
        <f>VALUE("01/05/"&amp;XLSperiodo)</f>
        <v>46143</v>
      </c>
      <c r="C9" s="298">
        <f t="shared" si="13"/>
        <v>5</v>
      </c>
      <c r="D9" s="263">
        <f>SUMIF(VENTAS!BE:BE,MONTH(B9),VENTAS!CA:CA)</f>
        <v>0</v>
      </c>
      <c r="E9" s="299">
        <f>SUMIF(VENTAS!BE:BE,MONTH(B9),VENTAS!BJ:BJ)+SUMIF(EXPORTACIONES!AL:AL,MONTH(B9),EXPORTACIONES!AF:AF)</f>
        <v>0</v>
      </c>
      <c r="F9" s="299">
        <f>SUMIF(VENTAS!BE:BE,MONTH(B9),VENTAS!P:P)+SUMIF(VENTAS!BE:BE,MONTH(B9),VENTAS!S:S)+SUMIF(VENTAS!BE:BE,MONTH(B9),VENTAS!V:V)</f>
        <v>0</v>
      </c>
      <c r="G9" s="300">
        <f t="shared" si="0"/>
        <v>0</v>
      </c>
      <c r="H9" s="300">
        <f>ROUND(SUMIF(VENTAS!BE:BE,MONTH(B9),VENTAS!BK:BK),2)</f>
        <v>0</v>
      </c>
      <c r="I9" s="301">
        <f>ROUND(SUMIF(VENTAS!BE:BE,MONTH(B9),VENTAS!BL:BL),2)</f>
        <v>0</v>
      </c>
      <c r="J9" s="301">
        <f t="shared" si="6"/>
        <v>0</v>
      </c>
      <c r="K9" s="302">
        <f t="shared" si="7"/>
        <v>0</v>
      </c>
      <c r="L9" s="299">
        <f>SUMIF(VENTAS!BE:BE,MONTH(B9),VENTAS!AR:AR)</f>
        <v>0</v>
      </c>
      <c r="M9" s="299">
        <f>SUMIF(VENTAS!BE:BE,MONTH(B9),VENTAS!AS:AS)</f>
        <v>0</v>
      </c>
      <c r="O9" s="299">
        <f>SUMIF(COMPRAS!DB:DB,MONTH(B9),COMPRAS!DH:DH)</f>
        <v>0</v>
      </c>
      <c r="P9" s="299">
        <f>SUMIF(COMPRAS!DB:DB,MONTH(B9),COMPRAS!X:X)+SUMIF(COMPRAS!DB:DB,MONTH(B9),COMPRAS!AA:AA)+SUMIF(COMPRAS!DB:DB,MONTH(B9),COMPRAS!AD:AD)</f>
        <v>0</v>
      </c>
      <c r="Q9" s="300">
        <f t="shared" si="1"/>
        <v>0</v>
      </c>
      <c r="R9" s="299">
        <f>ROUND(SUMIF(COMPRAS!DB:DB,MONTH(B9),COMPRAS!DI:DI),2)</f>
        <v>0</v>
      </c>
      <c r="S9" s="299">
        <f>ROUND(SUMIF(COMPRAS!DB:DB,MONTH(B9),COMPRAS!DJ:DJ),2)</f>
        <v>0</v>
      </c>
      <c r="T9" s="299">
        <f>ROUND(SUMIF(COMPRAS!DB:DB,MONTH(B9),COMPRAS!DK:DK),2)</f>
        <v>0</v>
      </c>
      <c r="U9" s="300">
        <f t="shared" si="8"/>
        <v>0</v>
      </c>
      <c r="V9" s="302">
        <f t="shared" si="2"/>
        <v>0</v>
      </c>
      <c r="W9" s="299">
        <f>ROUND(SUMIF(COMPRAS!DB:DB,MONTH(B9),COMPRAS!DL:DL),2)</f>
        <v>0</v>
      </c>
      <c r="X9" s="299">
        <f>ROUND(SUMIF(COMPRAS!DB:DB,MONTH(B9),COMPRAS!DN:DN),2)</f>
        <v>0</v>
      </c>
      <c r="Y9" s="299">
        <f>ROUND(SUMIF(COMPRAS!DB:DB,MONTH(B9),COMPRAS!DM:DM),2)</f>
        <v>0</v>
      </c>
      <c r="AA9" s="303">
        <f>IF(C9&lt;&gt;C10,IF(SUMIF(C$5:C9,C9,I$5:I9)&gt;0,ROUND(((SUMIF(C$5:C9,C9,G$5:G9)-SUMIF(C$5:C9,C9,D$5:D9))/SUMIF(C$5:C9,C9,G$5:G9)),4),1),0)</f>
        <v>1</v>
      </c>
      <c r="AB9" s="304">
        <f>IF(C9&lt;&gt;C10,ROUND(SUMIF(C$5:C9,C9,T$5:T9)*AA9,2),0)</f>
        <v>0</v>
      </c>
      <c r="AC9" s="299">
        <f>IF(C9&lt;&gt;C10,IF((SUMIF(C$5:C9,C9,I$5:I9)-SUMIF(C$5:C9,C9,AB$5:AB9))&gt;0,(SUMIF(C$5:C9,C9,I$5:I9)-SUMIF(C$5:C9,C9,AB$5:AB9)),0),0)</f>
        <v>0</v>
      </c>
      <c r="AD9" s="299">
        <f>IF(C9&lt;&gt;C10,IF((SUMIF(C$5:C9,C9,I$5:I9)-SUMIF(C$5:C9,C9,AB$5:AB9))&gt;0,0,(SUMIF(C$5:C9,C9,I$5:I9)-SUMIF(C$5:C9,C9,AB$5:AB9))),0)</f>
        <v>0</v>
      </c>
      <c r="AE9" s="299">
        <f t="shared" si="9"/>
        <v>0</v>
      </c>
      <c r="AF9" s="299">
        <f t="shared" si="10"/>
        <v>0</v>
      </c>
      <c r="AG9" s="299">
        <f>-IF(C9&lt;&gt;C10,SUMIF(C$5:C9,C9,L$5:L9),0)</f>
        <v>0</v>
      </c>
      <c r="AH9" s="299">
        <f t="shared" si="11"/>
        <v>0</v>
      </c>
      <c r="AI9" s="299">
        <f t="shared" si="12"/>
        <v>0</v>
      </c>
      <c r="AK9" s="299">
        <f t="shared" si="3"/>
        <v>0</v>
      </c>
      <c r="AL9" s="299">
        <f>IF(C9&lt;&gt;C10,SUMIF(C$5:C9,C9,W$5:W9),0)</f>
        <v>0</v>
      </c>
      <c r="AM9" s="300">
        <f t="shared" si="4"/>
        <v>0</v>
      </c>
      <c r="AO9" s="301">
        <v>0</v>
      </c>
      <c r="AP9" s="301">
        <v>0</v>
      </c>
      <c r="AQ9" s="300">
        <f t="shared" si="5"/>
        <v>0</v>
      </c>
      <c r="AW9"/>
    </row>
    <row r="10" spans="2:49" ht="14.5" x14ac:dyDescent="0.35">
      <c r="B10" s="306">
        <f>VALUE("01/06/"&amp;XLSperiodo)</f>
        <v>46174</v>
      </c>
      <c r="C10" s="307">
        <f t="shared" si="13"/>
        <v>6</v>
      </c>
      <c r="D10" s="263">
        <f>SUMIF(VENTAS!BE:BE,MONTH(B10),VENTAS!CA:CA)</f>
        <v>0</v>
      </c>
      <c r="E10" s="308">
        <f>SUMIF(VENTAS!BE:BE,MONTH(B10),VENTAS!BJ:BJ)+SUMIF(EXPORTACIONES!AL:AL,MONTH(B10),EXPORTACIONES!AF:AF)</f>
        <v>0</v>
      </c>
      <c r="F10" s="308">
        <f>SUMIF(VENTAS!BE:BE,MONTH(B10),VENTAS!P:P)+SUMIF(VENTAS!BE:BE,MONTH(B10),VENTAS!S:S)+SUMIF(VENTAS!BE:BE,MONTH(B10),VENTAS!V:V)</f>
        <v>0</v>
      </c>
      <c r="G10" s="309">
        <f t="shared" si="0"/>
        <v>0</v>
      </c>
      <c r="H10" s="309">
        <f>ROUND(SUMIF(VENTAS!BE:BE,MONTH(B10),VENTAS!BK:BK),2)</f>
        <v>0</v>
      </c>
      <c r="I10" s="310">
        <f>ROUND(SUMIF(VENTAS!BE:BE,MONTH(B10),VENTAS!BL:BL),2)</f>
        <v>0</v>
      </c>
      <c r="J10" s="310">
        <f t="shared" si="6"/>
        <v>0</v>
      </c>
      <c r="K10" s="311">
        <f t="shared" si="7"/>
        <v>0</v>
      </c>
      <c r="L10" s="308">
        <f>SUMIF(VENTAS!BE:BE,MONTH(B10),VENTAS!AR:AR)</f>
        <v>0</v>
      </c>
      <c r="M10" s="308">
        <f>SUMIF(VENTAS!BE:BE,MONTH(B10),VENTAS!AS:AS)</f>
        <v>0</v>
      </c>
      <c r="O10" s="308">
        <f>SUMIF(COMPRAS!DB:DB,MONTH(B10),COMPRAS!DH:DH)</f>
        <v>0</v>
      </c>
      <c r="P10" s="308">
        <f>SUMIF(COMPRAS!DB:DB,MONTH(B10),COMPRAS!X:X)+SUMIF(COMPRAS!DB:DB,MONTH(B10),COMPRAS!AA:AA)+SUMIF(COMPRAS!DB:DB,MONTH(B10),COMPRAS!AD:AD)</f>
        <v>0</v>
      </c>
      <c r="Q10" s="309">
        <f t="shared" si="1"/>
        <v>0</v>
      </c>
      <c r="R10" s="308">
        <f>ROUND(SUMIF(COMPRAS!DB:DB,MONTH(B10),COMPRAS!DI:DI),2)</f>
        <v>0</v>
      </c>
      <c r="S10" s="308">
        <f>ROUND(SUMIF(COMPRAS!DB:DB,MONTH(B10),COMPRAS!DJ:DJ),2)</f>
        <v>0</v>
      </c>
      <c r="T10" s="308">
        <f>ROUND(SUMIF(COMPRAS!DB:DB,MONTH(B10),COMPRAS!DK:DK),2)</f>
        <v>0</v>
      </c>
      <c r="U10" s="309">
        <f t="shared" si="8"/>
        <v>0</v>
      </c>
      <c r="V10" s="311">
        <f t="shared" si="2"/>
        <v>0</v>
      </c>
      <c r="W10" s="308">
        <f>ROUND(SUMIF(COMPRAS!DB:DB,MONTH(B10),COMPRAS!DL:DL),2)</f>
        <v>0</v>
      </c>
      <c r="X10" s="308">
        <f>ROUND(SUMIF(COMPRAS!DB:DB,MONTH(B10),COMPRAS!DN:DN),2)</f>
        <v>0</v>
      </c>
      <c r="Y10" s="308">
        <f>ROUND(SUMIF(COMPRAS!DB:DB,MONTH(B10),COMPRAS!DM:DM),2)</f>
        <v>0</v>
      </c>
      <c r="AA10" s="312">
        <f>IF(C10&lt;&gt;C11,IF(SUMIF(C$5:C10,C10,I$5:I10)&gt;0,ROUND(((SUMIF(C$5:C10,C10,G$5:G10)-SUMIF(C$5:C10,C10,D$5:D10))/SUMIF(C$5:C10,C10,G$5:G10)),4),1),0)</f>
        <v>1</v>
      </c>
      <c r="AB10" s="313">
        <f>IF(C10&lt;&gt;C11,ROUND(SUMIF(C$5:C10,C10,T$5:T10)*AA10,2),0)</f>
        <v>0</v>
      </c>
      <c r="AC10" s="308">
        <f>IF(C10&lt;&gt;C11,IF((SUMIF(C$5:C10,C10,I$5:I10)-SUMIF(C$5:C10,C10,AB$5:AB10))&gt;0,(SUMIF(C$5:C10,C10,I$5:I10)-SUMIF(C$5:C10,C10,AB$5:AB10)),0),0)</f>
        <v>0</v>
      </c>
      <c r="AD10" s="308">
        <f>IF(C10&lt;&gt;C11,IF((SUMIF(C$5:C10,C10,I$5:I10)-SUMIF(C$5:C10,C10,AB$5:AB10))&gt;0,0,(SUMIF(C$5:C10,C10,I$5:I10)-SUMIF(C$5:C10,C10,AB$5:AB10))),0)</f>
        <v>0</v>
      </c>
      <c r="AE10" s="308">
        <f t="shared" si="9"/>
        <v>0</v>
      </c>
      <c r="AF10" s="308">
        <f t="shared" si="10"/>
        <v>0</v>
      </c>
      <c r="AG10" s="308">
        <f>-IF(C10&lt;&gt;C11,SUMIF(C$5:C10,C10,L$5:L10),0)</f>
        <v>0</v>
      </c>
      <c r="AH10" s="308">
        <f t="shared" si="11"/>
        <v>0</v>
      </c>
      <c r="AI10" s="308">
        <f t="shared" si="12"/>
        <v>0</v>
      </c>
      <c r="AK10" s="308">
        <f t="shared" si="3"/>
        <v>0</v>
      </c>
      <c r="AL10" s="308">
        <f>IF(C10&lt;&gt;C11,SUMIF(C$5:C10,C10,W$5:W10),0)</f>
        <v>0</v>
      </c>
      <c r="AM10" s="309">
        <f t="shared" si="4"/>
        <v>0</v>
      </c>
      <c r="AO10" s="310">
        <v>0</v>
      </c>
      <c r="AP10" s="310">
        <v>0</v>
      </c>
      <c r="AQ10" s="309">
        <f t="shared" si="5"/>
        <v>0</v>
      </c>
      <c r="AW10"/>
    </row>
    <row r="11" spans="2:49" ht="14.5" x14ac:dyDescent="0.35">
      <c r="B11" s="297">
        <f>VALUE("01/07/"&amp;XLSperiodo)</f>
        <v>46204</v>
      </c>
      <c r="C11" s="298">
        <f>IF(Parametros!D21="SEMESTRAL","II-Semestre",7)</f>
        <v>7</v>
      </c>
      <c r="D11" s="263">
        <f>SUMIF(VENTAS!BE:BE,MONTH(B11),VENTAS!CA:CA)</f>
        <v>0</v>
      </c>
      <c r="E11" s="299">
        <f>SUMIF(VENTAS!BE:BE,MONTH(B11),VENTAS!BJ:BJ)+SUMIF(EXPORTACIONES!AL:AL,MONTH(B11),EXPORTACIONES!AF:AF)</f>
        <v>0</v>
      </c>
      <c r="F11" s="299">
        <f>SUMIF(VENTAS!BE:BE,MONTH(B11),VENTAS!P:P)+SUMIF(VENTAS!BE:BE,MONTH(B11),VENTAS!S:S)+SUMIF(VENTAS!BE:BE,MONTH(B11),VENTAS!V:V)</f>
        <v>0</v>
      </c>
      <c r="G11" s="300">
        <f t="shared" si="0"/>
        <v>0</v>
      </c>
      <c r="H11" s="300">
        <f>ROUND(SUMIF(VENTAS!BE:BE,MONTH(B11),VENTAS!BK:BK),2)</f>
        <v>0</v>
      </c>
      <c r="I11" s="301">
        <f>ROUND(SUMIF(VENTAS!BE:BE,MONTH(B11),VENTAS!BL:BL),2)</f>
        <v>0</v>
      </c>
      <c r="J11" s="301">
        <f t="shared" si="6"/>
        <v>0</v>
      </c>
      <c r="K11" s="302">
        <f t="shared" si="7"/>
        <v>0</v>
      </c>
      <c r="L11" s="299">
        <f>SUMIF(VENTAS!BE:BE,MONTH(B11),VENTAS!AR:AR)</f>
        <v>0</v>
      </c>
      <c r="M11" s="299">
        <f>SUMIF(VENTAS!BE:BE,MONTH(B11),VENTAS!AS:AS)</f>
        <v>0</v>
      </c>
      <c r="O11" s="299">
        <f>SUMIF(COMPRAS!DB:DB,MONTH(B11),COMPRAS!DH:DH)</f>
        <v>0</v>
      </c>
      <c r="P11" s="299">
        <f>SUMIF(COMPRAS!DB:DB,MONTH(B11),COMPRAS!X:X)+SUMIF(COMPRAS!DB:DB,MONTH(B11),COMPRAS!AA:AA)+SUMIF(COMPRAS!DB:DB,MONTH(B11),COMPRAS!AD:AD)</f>
        <v>0</v>
      </c>
      <c r="Q11" s="300">
        <f t="shared" si="1"/>
        <v>0</v>
      </c>
      <c r="R11" s="299">
        <f>ROUND(SUMIF(COMPRAS!DB:DB,MONTH(B11),COMPRAS!DI:DI),2)</f>
        <v>0</v>
      </c>
      <c r="S11" s="299">
        <f>ROUND(SUMIF(COMPRAS!DB:DB,MONTH(B11),COMPRAS!DJ:DJ),2)</f>
        <v>0</v>
      </c>
      <c r="T11" s="299">
        <f>ROUND(SUMIF(COMPRAS!DB:DB,MONTH(B11),COMPRAS!DK:DK),2)</f>
        <v>0</v>
      </c>
      <c r="U11" s="300">
        <f t="shared" si="8"/>
        <v>0</v>
      </c>
      <c r="V11" s="302">
        <f t="shared" si="2"/>
        <v>0</v>
      </c>
      <c r="W11" s="299">
        <f>ROUND(SUMIF(COMPRAS!DB:DB,MONTH(B11),COMPRAS!DL:DL),2)</f>
        <v>0</v>
      </c>
      <c r="X11" s="299">
        <f>ROUND(SUMIF(COMPRAS!DB:DB,MONTH(B11),COMPRAS!DN:DN),2)</f>
        <v>0</v>
      </c>
      <c r="Y11" s="299">
        <f>ROUND(SUMIF(COMPRAS!DB:DB,MONTH(B11),COMPRAS!DM:DM),2)</f>
        <v>0</v>
      </c>
      <c r="AA11" s="303">
        <f>IF(C11&lt;&gt;C12,IF(SUMIF(C$5:C11,C11,I$5:I11)&gt;0,ROUND(((SUMIF(C$5:C11,C11,G$5:G11)-SUMIF(C$5:C11,C11,D$5:D11))/SUMIF(C$5:C11,C11,G$5:G11)),4),1),0)</f>
        <v>1</v>
      </c>
      <c r="AB11" s="304">
        <f>IF(C11&lt;&gt;C12,ROUND(SUMIF(C$5:C11,C11,T$5:T11)*AA11,2),0)</f>
        <v>0</v>
      </c>
      <c r="AC11" s="299">
        <f>IF(C11&lt;&gt;C12,IF((SUMIF(C$5:C11,C11,I$5:I11)-SUMIF(C$5:C11,C11,AB$5:AB11))&gt;0,(SUMIF(C$5:C11,C11,I$5:I11)-SUMIF(C$5:C11,C11,AB$5:AB11)),0),0)</f>
        <v>0</v>
      </c>
      <c r="AD11" s="299">
        <f>IF(C11&lt;&gt;C12,IF((SUMIF(C$5:C11,C11,I$5:I11)-SUMIF(C$5:C11,C11,AB$5:AB11))&gt;0,0,(SUMIF(C$5:C11,C11,I$5:I11)-SUMIF(C$5:C11,C11,AB$5:AB11))),0)</f>
        <v>0</v>
      </c>
      <c r="AE11" s="299">
        <f t="shared" si="9"/>
        <v>0</v>
      </c>
      <c r="AF11" s="299">
        <f t="shared" si="10"/>
        <v>0</v>
      </c>
      <c r="AG11" s="299">
        <f>-IF(C11&lt;&gt;C12,SUMIF(C$5:C11,C11,L$5:L11),0)</f>
        <v>0</v>
      </c>
      <c r="AH11" s="299">
        <f t="shared" si="11"/>
        <v>0</v>
      </c>
      <c r="AI11" s="299">
        <f t="shared" si="12"/>
        <v>0</v>
      </c>
      <c r="AK11" s="299">
        <f t="shared" si="3"/>
        <v>0</v>
      </c>
      <c r="AL11" s="299">
        <f>IF(C11&lt;&gt;C12,SUMIF(C$5:C11,C11,W$5:W11),0)</f>
        <v>0</v>
      </c>
      <c r="AM11" s="300">
        <f t="shared" si="4"/>
        <v>0</v>
      </c>
      <c r="AO11" s="301">
        <v>0</v>
      </c>
      <c r="AP11" s="301">
        <v>0</v>
      </c>
      <c r="AQ11" s="300">
        <f t="shared" si="5"/>
        <v>0</v>
      </c>
      <c r="AW11"/>
    </row>
    <row r="12" spans="2:49" ht="14.5" x14ac:dyDescent="0.35">
      <c r="B12" s="306">
        <f>VALUE("01/08/"&amp;XLSperiodo)</f>
        <v>46235</v>
      </c>
      <c r="C12" s="307">
        <f t="shared" si="13"/>
        <v>8</v>
      </c>
      <c r="D12" s="263">
        <f>SUMIF(VENTAS!BE:BE,MONTH(B12),VENTAS!CA:CA)</f>
        <v>0</v>
      </c>
      <c r="E12" s="308">
        <f>SUMIF(VENTAS!BE:BE,MONTH(B12),VENTAS!BJ:BJ)+SUMIF(EXPORTACIONES!AL:AL,MONTH(B12),EXPORTACIONES!AF:AF)</f>
        <v>0</v>
      </c>
      <c r="F12" s="308">
        <f>SUMIF(VENTAS!BE:BE,MONTH(B12),VENTAS!P:P)+SUMIF(VENTAS!BE:BE,MONTH(B12),VENTAS!S:S)+SUMIF(VENTAS!BE:BE,MONTH(B12),VENTAS!V:V)</f>
        <v>0</v>
      </c>
      <c r="G12" s="309">
        <f t="shared" si="0"/>
        <v>0</v>
      </c>
      <c r="H12" s="309">
        <f>ROUND(SUMIF(VENTAS!BE:BE,MONTH(B12),VENTAS!BK:BK),2)</f>
        <v>0</v>
      </c>
      <c r="I12" s="310">
        <f>ROUND(SUMIF(VENTAS!BE:BE,MONTH(B12),VENTAS!BL:BL),2)</f>
        <v>0</v>
      </c>
      <c r="J12" s="310">
        <f t="shared" si="6"/>
        <v>0</v>
      </c>
      <c r="K12" s="311">
        <f t="shared" si="7"/>
        <v>0</v>
      </c>
      <c r="L12" s="308">
        <f>SUMIF(VENTAS!BE:BE,MONTH(B12),VENTAS!AR:AR)</f>
        <v>0</v>
      </c>
      <c r="M12" s="308">
        <f>SUMIF(VENTAS!BE:BE,MONTH(B12),VENTAS!AS:AS)</f>
        <v>0</v>
      </c>
      <c r="O12" s="308">
        <f>SUMIF(COMPRAS!DB:DB,MONTH(B12),COMPRAS!DH:DH)</f>
        <v>0</v>
      </c>
      <c r="P12" s="308">
        <f>SUMIF(COMPRAS!DB:DB,MONTH(B12),COMPRAS!X:X)+SUMIF(COMPRAS!DB:DB,MONTH(B12),COMPRAS!AA:AA)+SUMIF(COMPRAS!DB:DB,MONTH(B12),COMPRAS!AD:AD)</f>
        <v>0</v>
      </c>
      <c r="Q12" s="309">
        <f t="shared" si="1"/>
        <v>0</v>
      </c>
      <c r="R12" s="308">
        <f>ROUND(SUMIF(COMPRAS!DB:DB,MONTH(B12),COMPRAS!DI:DI),2)</f>
        <v>0</v>
      </c>
      <c r="S12" s="308">
        <f>ROUND(SUMIF(COMPRAS!DB:DB,MONTH(B12),COMPRAS!DJ:DJ),2)</f>
        <v>0</v>
      </c>
      <c r="T12" s="308">
        <f>ROUND(SUMIF(COMPRAS!DB:DB,MONTH(B12),COMPRAS!DK:DK),2)</f>
        <v>0</v>
      </c>
      <c r="U12" s="309">
        <f t="shared" si="8"/>
        <v>0</v>
      </c>
      <c r="V12" s="311">
        <f t="shared" si="2"/>
        <v>0</v>
      </c>
      <c r="W12" s="308">
        <f>ROUND(SUMIF(COMPRAS!DB:DB,MONTH(B12),COMPRAS!DL:DL),2)</f>
        <v>0</v>
      </c>
      <c r="X12" s="308">
        <f>ROUND(SUMIF(COMPRAS!DB:DB,MONTH(B12),COMPRAS!DN:DN),2)</f>
        <v>0</v>
      </c>
      <c r="Y12" s="308">
        <f>ROUND(SUMIF(COMPRAS!DB:DB,MONTH(B12),COMPRAS!DM:DM),2)</f>
        <v>0</v>
      </c>
      <c r="AA12" s="312">
        <f>IF(C12&lt;&gt;C13,IF(SUMIF(C$5:C12,C12,I$5:I12)&gt;0,ROUND(((SUMIF(C$5:C12,C12,G$5:G12)-SUMIF(C$5:C12,C12,D$5:D12))/SUMIF(C$5:C12,C12,G$5:G12)),4),1),0)</f>
        <v>1</v>
      </c>
      <c r="AB12" s="313">
        <f>IF(C12&lt;&gt;C13,ROUND(SUMIF(C$5:C12,C12,T$5:T12)*AA12,2),0)</f>
        <v>0</v>
      </c>
      <c r="AC12" s="308">
        <f>IF(C12&lt;&gt;C13,IF((SUMIF(C$5:C12,C12,I$5:I12)-SUMIF(C$5:C12,C12,AB$5:AB12))&gt;0,(SUMIF(C$5:C12,C12,I$5:I12)-SUMIF(C$5:C12,C12,AB$5:AB12)),0),0)</f>
        <v>0</v>
      </c>
      <c r="AD12" s="308">
        <f>IF(C12&lt;&gt;C13,IF((SUMIF(C$5:C12,C12,I$5:I12)-SUMIF(C$5:C12,C12,AB$5:AB12))&gt;0,0,(SUMIF(C$5:C12,C12,I$5:I12)-SUMIF(C$5:C12,C12,AB$5:AB12))),0)</f>
        <v>0</v>
      </c>
      <c r="AE12" s="308">
        <f t="shared" si="9"/>
        <v>0</v>
      </c>
      <c r="AF12" s="308">
        <f t="shared" si="10"/>
        <v>0</v>
      </c>
      <c r="AG12" s="308">
        <f>-IF(C12&lt;&gt;C13,SUMIF(C$5:C12,C12,L$5:L12),0)</f>
        <v>0</v>
      </c>
      <c r="AH12" s="308">
        <f t="shared" si="11"/>
        <v>0</v>
      </c>
      <c r="AI12" s="308">
        <f t="shared" si="12"/>
        <v>0</v>
      </c>
      <c r="AK12" s="308">
        <f t="shared" si="3"/>
        <v>0</v>
      </c>
      <c r="AL12" s="308">
        <f>IF(C12&lt;&gt;C13,SUMIF(C$5:C12,C12,W$5:W12),0)</f>
        <v>0</v>
      </c>
      <c r="AM12" s="309">
        <f t="shared" si="4"/>
        <v>0</v>
      </c>
      <c r="AO12" s="310">
        <v>0</v>
      </c>
      <c r="AP12" s="310">
        <v>0</v>
      </c>
      <c r="AQ12" s="309">
        <f t="shared" si="5"/>
        <v>0</v>
      </c>
      <c r="AW12"/>
    </row>
    <row r="13" spans="2:49" ht="14.5" x14ac:dyDescent="0.35">
      <c r="B13" s="297">
        <f>VALUE("01/09/"&amp;XLSperiodo)</f>
        <v>46266</v>
      </c>
      <c r="C13" s="298">
        <f t="shared" si="13"/>
        <v>9</v>
      </c>
      <c r="D13" s="263">
        <f>SUMIF(VENTAS!BE:BE,MONTH(B13),VENTAS!CA:CA)</f>
        <v>0</v>
      </c>
      <c r="E13" s="299">
        <f>SUMIF(VENTAS!BE:BE,MONTH(B13),VENTAS!BJ:BJ)+SUMIF(EXPORTACIONES!AL:AL,MONTH(B13),EXPORTACIONES!AF:AF)</f>
        <v>0</v>
      </c>
      <c r="F13" s="299">
        <f>SUMIF(VENTAS!BE:BE,MONTH(B13),VENTAS!P:P)+SUMIF(VENTAS!BE:BE,MONTH(B13),VENTAS!S:S)+SUMIF(VENTAS!BE:BE,MONTH(B13),VENTAS!V:V)</f>
        <v>0</v>
      </c>
      <c r="G13" s="300">
        <f t="shared" si="0"/>
        <v>0</v>
      </c>
      <c r="H13" s="300">
        <f>ROUND(SUMIF(VENTAS!BE:BE,MONTH(B13),VENTAS!BK:BK),2)</f>
        <v>0</v>
      </c>
      <c r="I13" s="301">
        <f>ROUND(SUMIF(VENTAS!BE:BE,MONTH(B13),VENTAS!BL:BL),2)</f>
        <v>0</v>
      </c>
      <c r="J13" s="301">
        <f t="shared" si="6"/>
        <v>0</v>
      </c>
      <c r="K13" s="302">
        <f t="shared" si="7"/>
        <v>0</v>
      </c>
      <c r="L13" s="299">
        <f>SUMIF(VENTAS!BE:BE,MONTH(B13),VENTAS!AR:AR)</f>
        <v>0</v>
      </c>
      <c r="M13" s="299">
        <f>SUMIF(VENTAS!BE:BE,MONTH(B13),VENTAS!AS:AS)</f>
        <v>0</v>
      </c>
      <c r="O13" s="299">
        <f>SUMIF(COMPRAS!DB:DB,MONTH(B13),COMPRAS!DH:DH)</f>
        <v>0</v>
      </c>
      <c r="P13" s="299">
        <f>SUMIF(COMPRAS!DB:DB,MONTH(B13),COMPRAS!X:X)+SUMIF(COMPRAS!DB:DB,MONTH(B13),COMPRAS!AA:AA)+SUMIF(COMPRAS!DB:DB,MONTH(B13),COMPRAS!AD:AD)</f>
        <v>0</v>
      </c>
      <c r="Q13" s="300">
        <f t="shared" si="1"/>
        <v>0</v>
      </c>
      <c r="R13" s="299">
        <f>ROUND(SUMIF(COMPRAS!DB:DB,MONTH(B13),COMPRAS!DI:DI),2)</f>
        <v>0</v>
      </c>
      <c r="S13" s="299">
        <f>ROUND(SUMIF(COMPRAS!DB:DB,MONTH(B13),COMPRAS!DJ:DJ),2)</f>
        <v>0</v>
      </c>
      <c r="T13" s="299">
        <f>ROUND(SUMIF(COMPRAS!DB:DB,MONTH(B13),COMPRAS!DK:DK),2)</f>
        <v>0</v>
      </c>
      <c r="U13" s="300">
        <f t="shared" si="8"/>
        <v>0</v>
      </c>
      <c r="V13" s="302">
        <f t="shared" si="2"/>
        <v>0</v>
      </c>
      <c r="W13" s="299">
        <f>ROUND(SUMIF(COMPRAS!DB:DB,MONTH(B13),COMPRAS!DL:DL),2)</f>
        <v>0</v>
      </c>
      <c r="X13" s="299">
        <f>ROUND(SUMIF(COMPRAS!DB:DB,MONTH(B13),COMPRAS!DN:DN),2)</f>
        <v>0</v>
      </c>
      <c r="Y13" s="299">
        <f>ROUND(SUMIF(COMPRAS!DB:DB,MONTH(B13),COMPRAS!DM:DM),2)</f>
        <v>0</v>
      </c>
      <c r="AA13" s="303">
        <f>IF(C13&lt;&gt;C14,IF(SUMIF(C$5:C13,C13,I$5:I13)&gt;0,ROUND(((SUMIF(C$5:C13,C13,G$5:G13)-SUMIF(C$5:C13,C13,D$5:D13))/SUMIF(C$5:C13,C13,G$5:G13)),4),1),0)</f>
        <v>1</v>
      </c>
      <c r="AB13" s="304">
        <f>IF(C13&lt;&gt;C14,ROUND(SUMIF(C$5:C13,C13,T$5:T13)*AA13,2),0)</f>
        <v>0</v>
      </c>
      <c r="AC13" s="299">
        <f>IF(C13&lt;&gt;C14,IF((SUMIF(C$5:C13,C13,I$5:I13)-SUMIF(C$5:C13,C13,AB$5:AB13))&gt;0,(SUMIF(C$5:C13,C13,I$5:I13)-SUMIF(C$5:C13,C13,AB$5:AB13)),0),0)</f>
        <v>0</v>
      </c>
      <c r="AD13" s="299">
        <f>IF(C13&lt;&gt;C14,IF((SUMIF(C$5:C13,C13,I$5:I13)-SUMIF(C$5:C13,C13,AB$5:AB13))&gt;0,0,(SUMIF(C$5:C13,C13,I$5:I13)-SUMIF(C$5:C13,C13,AB$5:AB13))),0)</f>
        <v>0</v>
      </c>
      <c r="AE13" s="299">
        <f t="shared" si="9"/>
        <v>0</v>
      </c>
      <c r="AF13" s="299">
        <f t="shared" si="10"/>
        <v>0</v>
      </c>
      <c r="AG13" s="299">
        <f>-IF(C13&lt;&gt;C14,SUMIF(C$5:C13,C13,L$5:L13),0)</f>
        <v>0</v>
      </c>
      <c r="AH13" s="299">
        <f t="shared" si="11"/>
        <v>0</v>
      </c>
      <c r="AI13" s="299">
        <f t="shared" si="12"/>
        <v>0</v>
      </c>
      <c r="AK13" s="299">
        <f t="shared" si="3"/>
        <v>0</v>
      </c>
      <c r="AL13" s="299">
        <f>IF(C13&lt;&gt;C14,SUMIF(C$5:C13,C13,W$5:W13),0)</f>
        <v>0</v>
      </c>
      <c r="AM13" s="300">
        <f t="shared" si="4"/>
        <v>0</v>
      </c>
      <c r="AO13" s="301">
        <v>0</v>
      </c>
      <c r="AP13" s="301">
        <v>0</v>
      </c>
      <c r="AQ13" s="300">
        <f t="shared" si="5"/>
        <v>0</v>
      </c>
      <c r="AW13"/>
    </row>
    <row r="14" spans="2:49" ht="14.5" x14ac:dyDescent="0.35">
      <c r="B14" s="306">
        <f>VALUE("01/10/"&amp;XLSperiodo)</f>
        <v>46296</v>
      </c>
      <c r="C14" s="307">
        <f t="shared" si="13"/>
        <v>10</v>
      </c>
      <c r="D14" s="263">
        <f>SUMIF(VENTAS!BE:BE,MONTH(B14),VENTAS!CA:CA)</f>
        <v>0</v>
      </c>
      <c r="E14" s="308">
        <f>SUMIF(VENTAS!BE:BE,MONTH(B14),VENTAS!BJ:BJ)+SUMIF(EXPORTACIONES!AL:AL,MONTH(B14),EXPORTACIONES!AF:AF)</f>
        <v>0</v>
      </c>
      <c r="F14" s="308">
        <f>SUMIF(VENTAS!BE:BE,MONTH(B14),VENTAS!P:P)+SUMIF(VENTAS!BE:BE,MONTH(B14),VENTAS!S:S)+SUMIF(VENTAS!BE:BE,MONTH(B14),VENTAS!V:V)</f>
        <v>0</v>
      </c>
      <c r="G14" s="309">
        <f t="shared" si="0"/>
        <v>0</v>
      </c>
      <c r="H14" s="309">
        <f>ROUND(SUMIF(VENTAS!BE:BE,MONTH(B14),VENTAS!BK:BK),2)</f>
        <v>0</v>
      </c>
      <c r="I14" s="310">
        <f>ROUND(SUMIF(VENTAS!BE:BE,MONTH(B14),VENTAS!BL:BL),2)</f>
        <v>0</v>
      </c>
      <c r="J14" s="310">
        <f t="shared" si="6"/>
        <v>0</v>
      </c>
      <c r="K14" s="311">
        <f t="shared" si="7"/>
        <v>0</v>
      </c>
      <c r="L14" s="308">
        <f>SUMIF(VENTAS!BE:BE,MONTH(B14),VENTAS!AR:AR)</f>
        <v>0</v>
      </c>
      <c r="M14" s="308">
        <f>SUMIF(VENTAS!BE:BE,MONTH(B14),VENTAS!AS:AS)</f>
        <v>0</v>
      </c>
      <c r="O14" s="308">
        <f>SUMIF(COMPRAS!DB:DB,MONTH(B14),COMPRAS!DH:DH)</f>
        <v>0</v>
      </c>
      <c r="P14" s="308">
        <f>SUMIF(COMPRAS!DB:DB,MONTH(B14),COMPRAS!X:X)+SUMIF(COMPRAS!DB:DB,MONTH(B14),COMPRAS!AA:AA)+SUMIF(COMPRAS!DB:DB,MONTH(B14),COMPRAS!AD:AD)</f>
        <v>0</v>
      </c>
      <c r="Q14" s="309">
        <f t="shared" si="1"/>
        <v>0</v>
      </c>
      <c r="R14" s="308">
        <f>ROUND(SUMIF(COMPRAS!DB:DB,MONTH(B14),COMPRAS!DI:DI),2)</f>
        <v>0</v>
      </c>
      <c r="S14" s="308">
        <f>ROUND(SUMIF(COMPRAS!DB:DB,MONTH(B14),COMPRAS!DJ:DJ),2)</f>
        <v>0</v>
      </c>
      <c r="T14" s="308">
        <f>ROUND(SUMIF(COMPRAS!DB:DB,MONTH(B14),COMPRAS!DK:DK),2)</f>
        <v>0</v>
      </c>
      <c r="U14" s="309">
        <f t="shared" si="8"/>
        <v>0</v>
      </c>
      <c r="V14" s="311">
        <f t="shared" si="2"/>
        <v>0</v>
      </c>
      <c r="W14" s="308">
        <f>ROUND(SUMIF(COMPRAS!DB:DB,MONTH(B14),COMPRAS!DL:DL),2)</f>
        <v>0</v>
      </c>
      <c r="X14" s="308">
        <f>ROUND(SUMIF(COMPRAS!DB:DB,MONTH(B14),COMPRAS!DN:DN),2)</f>
        <v>0</v>
      </c>
      <c r="Y14" s="308">
        <f>ROUND(SUMIF(COMPRAS!DB:DB,MONTH(B14),COMPRAS!DM:DM),2)</f>
        <v>0</v>
      </c>
      <c r="AA14" s="312">
        <f>IF(C14&lt;&gt;C15,IF(SUMIF(C$5:C14,C14,I$5:I14)&gt;0,ROUND(((SUMIF(C$5:C14,C14,G$5:G14)-SUMIF(C$5:C14,C14,D$5:D14))/SUMIF(C$5:C14,C14,G$5:G14)),4),1),0)</f>
        <v>1</v>
      </c>
      <c r="AB14" s="313">
        <f>IF(C14&lt;&gt;C15,ROUND(SUMIF(C$5:C14,C14,T$5:T14)*AA14,2),0)</f>
        <v>0</v>
      </c>
      <c r="AC14" s="308">
        <f>IF(C14&lt;&gt;C15,IF((SUMIF(C$5:C14,C14,I$5:I14)-SUMIF(C$5:C14,C14,AB$5:AB14))&gt;0,(SUMIF(C$5:C14,C14,I$5:I14)-SUMIF(C$5:C14,C14,AB$5:AB14)),0),0)</f>
        <v>0</v>
      </c>
      <c r="AD14" s="308">
        <f>IF(C14&lt;&gt;C15,IF((SUMIF(C$5:C14,C14,I$5:I14)-SUMIF(C$5:C14,C14,AB$5:AB14))&gt;0,0,(SUMIF(C$5:C14,C14,I$5:I14)-SUMIF(C$5:C14,C14,AB$5:AB14))),0)</f>
        <v>0</v>
      </c>
      <c r="AE14" s="308">
        <f t="shared" si="9"/>
        <v>0</v>
      </c>
      <c r="AF14" s="308">
        <f t="shared" si="10"/>
        <v>0</v>
      </c>
      <c r="AG14" s="308">
        <f>-IF(C14&lt;&gt;C15,SUMIF(C$5:C14,C14,L$5:L14),0)</f>
        <v>0</v>
      </c>
      <c r="AH14" s="308">
        <f t="shared" si="11"/>
        <v>0</v>
      </c>
      <c r="AI14" s="308">
        <f t="shared" si="12"/>
        <v>0</v>
      </c>
      <c r="AK14" s="308">
        <f t="shared" si="3"/>
        <v>0</v>
      </c>
      <c r="AL14" s="308">
        <f>IF(C14&lt;&gt;C15,SUMIF(C$5:C14,C14,W$5:W14),0)</f>
        <v>0</v>
      </c>
      <c r="AM14" s="309">
        <f t="shared" si="4"/>
        <v>0</v>
      </c>
      <c r="AO14" s="310">
        <v>0</v>
      </c>
      <c r="AP14" s="310">
        <v>0</v>
      </c>
      <c r="AQ14" s="309">
        <f t="shared" si="5"/>
        <v>0</v>
      </c>
      <c r="AW14"/>
    </row>
    <row r="15" spans="2:49" ht="14.5" x14ac:dyDescent="0.35">
      <c r="B15" s="297">
        <f>VALUE("01/11/"&amp;XLSperiodo)</f>
        <v>46327</v>
      </c>
      <c r="C15" s="298">
        <f t="shared" si="13"/>
        <v>11</v>
      </c>
      <c r="D15" s="263">
        <f>SUMIF(VENTAS!BE:BE,MONTH(B15),VENTAS!CA:CA)</f>
        <v>0</v>
      </c>
      <c r="E15" s="299">
        <f>SUMIF(VENTAS!BE:BE,MONTH(B15),VENTAS!BJ:BJ)+SUMIF(EXPORTACIONES!AL:AL,MONTH(B15),EXPORTACIONES!AF:AF)</f>
        <v>0</v>
      </c>
      <c r="F15" s="299">
        <f>SUMIF(VENTAS!BE:BE,MONTH(B15),VENTAS!P:P)+SUMIF(VENTAS!BE:BE,MONTH(B15),VENTAS!S:S)+SUMIF(VENTAS!BE:BE,MONTH(B15),VENTAS!V:V)</f>
        <v>0</v>
      </c>
      <c r="G15" s="300">
        <f t="shared" si="0"/>
        <v>0</v>
      </c>
      <c r="H15" s="300">
        <f>ROUND(SUMIF(VENTAS!BE:BE,MONTH(B15),VENTAS!BK:BK),2)</f>
        <v>0</v>
      </c>
      <c r="I15" s="301">
        <f>ROUND(SUMIF(VENTAS!BE:BE,MONTH(B15),VENTAS!BL:BL),2)</f>
        <v>0</v>
      </c>
      <c r="J15" s="301">
        <f t="shared" si="6"/>
        <v>0</v>
      </c>
      <c r="K15" s="302">
        <f t="shared" si="7"/>
        <v>0</v>
      </c>
      <c r="L15" s="299">
        <f>SUMIF(VENTAS!BE:BE,MONTH(B15),VENTAS!AR:AR)</f>
        <v>0</v>
      </c>
      <c r="M15" s="299">
        <f>SUMIF(VENTAS!BE:BE,MONTH(B15),VENTAS!AS:AS)</f>
        <v>0</v>
      </c>
      <c r="O15" s="299">
        <f>SUMIF(COMPRAS!DB:DB,MONTH(B15),COMPRAS!DH:DH)</f>
        <v>0</v>
      </c>
      <c r="P15" s="299">
        <f>SUMIF(COMPRAS!DB:DB,MONTH(B15),COMPRAS!X:X)+SUMIF(COMPRAS!DB:DB,MONTH(B15),COMPRAS!AA:AA)+SUMIF(COMPRAS!DB:DB,MONTH(B15),COMPRAS!AD:AD)</f>
        <v>0</v>
      </c>
      <c r="Q15" s="300">
        <f t="shared" si="1"/>
        <v>0</v>
      </c>
      <c r="R15" s="299">
        <f>ROUND(SUMIF(COMPRAS!DB:DB,MONTH(B15),COMPRAS!DI:DI),2)</f>
        <v>0</v>
      </c>
      <c r="S15" s="299">
        <f>ROUND(SUMIF(COMPRAS!DB:DB,MONTH(B15),COMPRAS!DJ:DJ),2)</f>
        <v>0</v>
      </c>
      <c r="T15" s="299">
        <f>ROUND(SUMIF(COMPRAS!DB:DB,MONTH(B15),COMPRAS!DK:DK),2)</f>
        <v>0</v>
      </c>
      <c r="U15" s="300">
        <f t="shared" si="8"/>
        <v>0</v>
      </c>
      <c r="V15" s="302">
        <f t="shared" si="2"/>
        <v>0</v>
      </c>
      <c r="W15" s="299">
        <f>ROUND(SUMIF(COMPRAS!DB:DB,MONTH(B15),COMPRAS!DL:DL),2)</f>
        <v>0</v>
      </c>
      <c r="X15" s="299">
        <f>ROUND(SUMIF(COMPRAS!DB:DB,MONTH(B15),COMPRAS!DN:DN),2)</f>
        <v>0</v>
      </c>
      <c r="Y15" s="299">
        <f>ROUND(SUMIF(COMPRAS!DB:DB,MONTH(B15),COMPRAS!DM:DM),2)</f>
        <v>0</v>
      </c>
      <c r="AA15" s="303">
        <f>IF(C15&lt;&gt;C16,IF(SUMIF(C$5:C15,C15,I$5:I15)&gt;0,ROUND(((SUMIF(C$5:C15,C15,G$5:G15)-SUMIF(C$5:C15,C15,D$5:D15))/SUMIF(C$5:C15,C15,G$5:G15)),4),1),0)</f>
        <v>1</v>
      </c>
      <c r="AB15" s="304">
        <f>IF(C15&lt;&gt;C16,ROUND(SUMIF(C$5:C15,C15,T$5:T15)*AA15,2),0)</f>
        <v>0</v>
      </c>
      <c r="AC15" s="299">
        <f>IF(C15&lt;&gt;C16,IF((SUMIF(C$5:C15,C15,I$5:I15)-SUMIF(C$5:C15,C15,AB$5:AB15))&gt;0,(SUMIF(C$5:C15,C15,I$5:I15)-SUMIF(C$5:C15,C15,AB$5:AB15)),0),0)</f>
        <v>0</v>
      </c>
      <c r="AD15" s="299">
        <f>IF(C15&lt;&gt;C16,IF((SUMIF(C$5:C15,C15,I$5:I15)-SUMIF(C$5:C15,C15,AB$5:AB15))&gt;0,0,(SUMIF(C$5:C15,C15,I$5:I15)-SUMIF(C$5:C15,C15,AB$5:AB15))),0)</f>
        <v>0</v>
      </c>
      <c r="AE15" s="299">
        <f t="shared" si="9"/>
        <v>0</v>
      </c>
      <c r="AF15" s="299">
        <f t="shared" si="10"/>
        <v>0</v>
      </c>
      <c r="AG15" s="299">
        <f>-IF(C15&lt;&gt;C16,SUMIF(C$5:C15,C15,L$5:L15),0)</f>
        <v>0</v>
      </c>
      <c r="AH15" s="299">
        <f t="shared" si="11"/>
        <v>0</v>
      </c>
      <c r="AI15" s="299">
        <f t="shared" si="12"/>
        <v>0</v>
      </c>
      <c r="AK15" s="299">
        <f t="shared" si="3"/>
        <v>0</v>
      </c>
      <c r="AL15" s="299">
        <f>IF(C15&lt;&gt;C16,SUMIF(C$5:C15,C15,W$5:W15),0)</f>
        <v>0</v>
      </c>
      <c r="AM15" s="300">
        <f t="shared" si="4"/>
        <v>0</v>
      </c>
      <c r="AO15" s="301">
        <v>0</v>
      </c>
      <c r="AP15" s="301">
        <v>0</v>
      </c>
      <c r="AQ15" s="300">
        <f t="shared" si="5"/>
        <v>0</v>
      </c>
      <c r="AW15"/>
    </row>
    <row r="16" spans="2:49" ht="14.5" x14ac:dyDescent="0.35">
      <c r="B16" s="306">
        <f>VALUE("01/12/"&amp;XLSperiodo)</f>
        <v>46357</v>
      </c>
      <c r="C16" s="307">
        <f t="shared" si="13"/>
        <v>12</v>
      </c>
      <c r="D16" s="263">
        <f>SUMIF(VENTAS!BE:BE,MONTH(B16),VENTAS!CA:CA)</f>
        <v>0</v>
      </c>
      <c r="E16" s="308">
        <f>SUMIF(VENTAS!BE:BE,MONTH(B16),VENTAS!BJ:BJ)+SUMIF(EXPORTACIONES!AL:AL,MONTH(B16),EXPORTACIONES!AF:AF)</f>
        <v>0</v>
      </c>
      <c r="F16" s="308">
        <f>SUMIF(VENTAS!BE:BE,MONTH(B16),VENTAS!P:P)+SUMIF(VENTAS!BE:BE,MONTH(B16),VENTAS!S:S)+SUMIF(VENTAS!BE:BE,MONTH(B16),VENTAS!V:V)</f>
        <v>0</v>
      </c>
      <c r="G16" s="309">
        <f t="shared" si="0"/>
        <v>0</v>
      </c>
      <c r="H16" s="309">
        <f>ROUND(SUMIF(VENTAS!BE:BE,MONTH(B16),VENTAS!BK:BK),2)</f>
        <v>0</v>
      </c>
      <c r="I16" s="310">
        <f>ROUND(SUMIF(VENTAS!BE:BE,MONTH(B16),VENTAS!BL:BL),2)</f>
        <v>0</v>
      </c>
      <c r="J16" s="310">
        <f t="shared" si="6"/>
        <v>0</v>
      </c>
      <c r="K16" s="311">
        <f t="shared" si="7"/>
        <v>0</v>
      </c>
      <c r="L16" s="308">
        <f>SUMIF(VENTAS!BE:BE,MONTH(B16),VENTAS!AR:AR)</f>
        <v>0</v>
      </c>
      <c r="M16" s="308">
        <f>SUMIF(VENTAS!BE:BE,MONTH(B16),VENTAS!AS:AS)</f>
        <v>0</v>
      </c>
      <c r="O16" s="308">
        <f>SUMIF(COMPRAS!DB:DB,MONTH(B16),COMPRAS!DH:DH)</f>
        <v>0</v>
      </c>
      <c r="P16" s="308">
        <f>SUMIF(COMPRAS!DB:DB,MONTH(B16),COMPRAS!X:X)+SUMIF(COMPRAS!DB:DB,MONTH(B16),COMPRAS!AA:AA)+SUMIF(COMPRAS!DB:DB,MONTH(B16),COMPRAS!AD:AD)</f>
        <v>0</v>
      </c>
      <c r="Q16" s="309">
        <f t="shared" si="1"/>
        <v>0</v>
      </c>
      <c r="R16" s="308">
        <f>ROUND(SUMIF(COMPRAS!DB:DB,MONTH(B16),COMPRAS!DI:DI),2)</f>
        <v>0</v>
      </c>
      <c r="S16" s="308">
        <f>ROUND(SUMIF(COMPRAS!DB:DB,MONTH(B16),COMPRAS!DJ:DJ),2)</f>
        <v>0</v>
      </c>
      <c r="T16" s="308">
        <f>ROUND(SUMIF(COMPRAS!DB:DB,MONTH(B16),COMPRAS!DK:DK),2)</f>
        <v>0</v>
      </c>
      <c r="U16" s="309">
        <f t="shared" si="8"/>
        <v>0</v>
      </c>
      <c r="V16" s="311">
        <f t="shared" si="2"/>
        <v>0</v>
      </c>
      <c r="W16" s="308">
        <f>ROUND(SUMIF(COMPRAS!DB:DB,MONTH(B16),COMPRAS!DL:DL),2)</f>
        <v>0</v>
      </c>
      <c r="X16" s="308">
        <f>ROUND(SUMIF(COMPRAS!DB:DB,MONTH(B16),COMPRAS!DN:DN),2)</f>
        <v>0</v>
      </c>
      <c r="Y16" s="308">
        <f>ROUND(SUMIF(COMPRAS!DB:DB,MONTH(B16),COMPRAS!DM:DM),2)</f>
        <v>0</v>
      </c>
      <c r="AA16" s="312">
        <f>IF(C16&lt;&gt;C17,IF(SUMIF(C$5:C16,C16,I$5:I16)&gt;0,ROUND(((SUMIF(C$5:C16,C16,G$5:G16)-SUMIF(C$5:C16,C16,D$5:D16))/SUMIF(C$5:C16,C16,G$5:G16)),4),1),0)</f>
        <v>1</v>
      </c>
      <c r="AB16" s="313">
        <f>ROUND(SUMIF(C$5:C16,C16,T$5:T16)*AA16,2)</f>
        <v>0</v>
      </c>
      <c r="AC16" s="308">
        <f>IF(C16&lt;&gt;C17,IF((SUMIF(C$5:C16,C16,I$5:I16)-SUMIF(C$5:C16,C16,AB$5:AB16))&gt;0,(SUMIF(C$5:C16,C16,I$5:I16)-SUMIF(C$5:C16,C16,AB$5:AB16)),0),0)</f>
        <v>0</v>
      </c>
      <c r="AD16" s="308">
        <f>IF(C16&lt;&gt;C17,IF((SUMIF(C$5:C16,C16,I$5:I16)-SUMIF(C$5:C16,C16,AB$5:AB16))&gt;0,0,(SUMIF(C$5:C16,C16,I$5:I16)-SUMIF(C$5:C16,C16,AB$5:AB16))),0)</f>
        <v>0</v>
      </c>
      <c r="AE16" s="308">
        <f t="shared" si="9"/>
        <v>0</v>
      </c>
      <c r="AF16" s="308">
        <f t="shared" si="10"/>
        <v>0</v>
      </c>
      <c r="AG16" s="308">
        <f>-IF(C16&lt;&gt;C17,SUMIF(C$5:C16,C16,L$5:L16),0)</f>
        <v>0</v>
      </c>
      <c r="AH16" s="308">
        <f t="shared" si="11"/>
        <v>0</v>
      </c>
      <c r="AI16" s="308">
        <f t="shared" si="12"/>
        <v>0</v>
      </c>
      <c r="AK16" s="308">
        <f t="shared" si="3"/>
        <v>0</v>
      </c>
      <c r="AL16" s="308">
        <f>IF(C16&lt;&gt;C17,SUMIF(C$5:C16,C16,W$5:W16),0)</f>
        <v>0</v>
      </c>
      <c r="AM16" s="309">
        <f t="shared" si="4"/>
        <v>0</v>
      </c>
      <c r="AO16" s="310">
        <v>0</v>
      </c>
      <c r="AP16" s="310">
        <v>0</v>
      </c>
      <c r="AQ16" s="309">
        <f t="shared" si="5"/>
        <v>0</v>
      </c>
      <c r="AW16"/>
    </row>
    <row r="17" spans="1:49" ht="5.15" customHeight="1" x14ac:dyDescent="0.35">
      <c r="B17" s="314"/>
      <c r="E17" s="315"/>
      <c r="F17" s="315"/>
      <c r="G17" s="315"/>
      <c r="H17" s="315"/>
      <c r="I17" s="316"/>
      <c r="J17" s="316"/>
      <c r="K17" s="315"/>
      <c r="L17" s="315"/>
      <c r="M17" s="315"/>
      <c r="O17" s="315"/>
      <c r="P17" s="315"/>
      <c r="Q17" s="315"/>
      <c r="R17" s="315"/>
      <c r="S17" s="315"/>
      <c r="T17" s="315"/>
      <c r="U17" s="315"/>
      <c r="V17" s="315"/>
      <c r="W17" s="315"/>
      <c r="X17" s="315"/>
      <c r="Y17" s="315"/>
      <c r="AA17" s="315"/>
      <c r="AB17" s="315"/>
      <c r="AC17" s="315"/>
      <c r="AD17" s="315"/>
      <c r="AE17" s="315"/>
      <c r="AF17" s="315"/>
      <c r="AG17" s="315"/>
      <c r="AH17" s="315"/>
      <c r="AI17" s="315"/>
      <c r="AK17" s="315"/>
      <c r="AL17" s="315"/>
      <c r="AM17" s="315"/>
      <c r="AO17" s="315"/>
      <c r="AP17" s="315"/>
      <c r="AQ17" s="315"/>
      <c r="AW17"/>
    </row>
    <row r="18" spans="1:49" s="317" customFormat="1" ht="14.5" x14ac:dyDescent="0.35">
      <c r="B18" s="314"/>
      <c r="C18" s="263"/>
      <c r="D18" s="263"/>
      <c r="E18" s="302">
        <f t="shared" ref="E18:M18" si="14">SUM(E5:E17)</f>
        <v>0</v>
      </c>
      <c r="F18" s="302">
        <f t="shared" si="14"/>
        <v>0</v>
      </c>
      <c r="G18" s="302">
        <f t="shared" si="14"/>
        <v>0</v>
      </c>
      <c r="H18" s="302">
        <f t="shared" si="14"/>
        <v>0</v>
      </c>
      <c r="I18" s="302">
        <f t="shared" si="14"/>
        <v>0</v>
      </c>
      <c r="J18" s="302">
        <f t="shared" si="14"/>
        <v>0</v>
      </c>
      <c r="K18" s="302">
        <f t="shared" si="14"/>
        <v>0</v>
      </c>
      <c r="L18" s="302">
        <f t="shared" si="14"/>
        <v>0</v>
      </c>
      <c r="M18" s="302">
        <f t="shared" si="14"/>
        <v>0</v>
      </c>
      <c r="N18" s="263"/>
      <c r="O18" s="302">
        <f t="shared" ref="O18:X18" si="15">SUM(O5:O17)</f>
        <v>0</v>
      </c>
      <c r="P18" s="302">
        <f t="shared" si="15"/>
        <v>0</v>
      </c>
      <c r="Q18" s="302">
        <f t="shared" si="15"/>
        <v>0</v>
      </c>
      <c r="R18" s="302">
        <f t="shared" si="15"/>
        <v>0</v>
      </c>
      <c r="S18" s="302">
        <f>SUM(S5:S17)</f>
        <v>0</v>
      </c>
      <c r="T18" s="302">
        <f t="shared" si="15"/>
        <v>0</v>
      </c>
      <c r="U18" s="302">
        <f t="shared" si="15"/>
        <v>0</v>
      </c>
      <c r="V18" s="302">
        <f t="shared" si="15"/>
        <v>0</v>
      </c>
      <c r="W18" s="302">
        <f t="shared" si="15"/>
        <v>0</v>
      </c>
      <c r="X18" s="302">
        <f t="shared" si="15"/>
        <v>0</v>
      </c>
      <c r="Y18" s="302">
        <f t="shared" ref="Y18" si="16">SUM(Y5:Y17)</f>
        <v>0</v>
      </c>
      <c r="Z18" s="263"/>
      <c r="AA18" s="302"/>
      <c r="AB18" s="302">
        <f t="shared" ref="AB18:AI18" si="17">SUM(AB5:AB17)</f>
        <v>0</v>
      </c>
      <c r="AC18" s="302">
        <f t="shared" si="17"/>
        <v>0</v>
      </c>
      <c r="AD18" s="302">
        <f t="shared" si="17"/>
        <v>0</v>
      </c>
      <c r="AE18" s="302">
        <f t="shared" si="17"/>
        <v>0</v>
      </c>
      <c r="AF18" s="302">
        <f t="shared" si="17"/>
        <v>0</v>
      </c>
      <c r="AG18" s="302">
        <f t="shared" si="17"/>
        <v>0</v>
      </c>
      <c r="AH18" s="302">
        <f t="shared" si="17"/>
        <v>0</v>
      </c>
      <c r="AI18" s="302">
        <f t="shared" si="17"/>
        <v>0</v>
      </c>
      <c r="AJ18" s="263"/>
      <c r="AK18" s="302">
        <f>SUM(AK5:AK17)</f>
        <v>0</v>
      </c>
      <c r="AL18" s="302">
        <f>SUM(AL5:AL17)</f>
        <v>0</v>
      </c>
      <c r="AM18" s="302">
        <f>SUM(AM5:AM17)</f>
        <v>0</v>
      </c>
      <c r="AN18" s="263"/>
      <c r="AO18" s="302">
        <f>SUM(AO5:AO17)</f>
        <v>0</v>
      </c>
      <c r="AP18" s="302">
        <f>SUM(AP5:AP17)</f>
        <v>0</v>
      </c>
      <c r="AQ18" s="302">
        <f>SUM(AQ5:AQ17)</f>
        <v>0</v>
      </c>
      <c r="AU18" s="263"/>
      <c r="AV18" s="263"/>
      <c r="AW18"/>
    </row>
    <row r="19" spans="1:49" s="548" customFormat="1" ht="15" thickBot="1" x14ac:dyDescent="0.4">
      <c r="B19" s="549"/>
      <c r="D19" s="550"/>
      <c r="E19" s="551"/>
      <c r="F19" s="551"/>
      <c r="G19" s="551"/>
      <c r="H19" s="551"/>
      <c r="I19" s="551"/>
      <c r="J19" s="551"/>
      <c r="K19" s="551"/>
      <c r="L19" s="551"/>
      <c r="M19" s="551"/>
      <c r="N19" s="551"/>
      <c r="O19" s="551"/>
      <c r="P19" s="550"/>
      <c r="Q19" s="551"/>
      <c r="R19" s="551"/>
      <c r="S19" s="551"/>
      <c r="T19" s="551"/>
      <c r="U19" s="551"/>
      <c r="V19" s="551"/>
      <c r="W19" s="551"/>
      <c r="X19" s="551"/>
      <c r="Y19" s="551"/>
      <c r="Z19" s="550"/>
      <c r="AB19" s="550"/>
      <c r="AR19" s="552"/>
      <c r="AS19" s="552"/>
      <c r="AT19" s="552"/>
      <c r="AU19" s="552"/>
      <c r="AV19" s="552"/>
      <c r="AW19" s="552"/>
    </row>
    <row r="20" spans="1:49" s="784" customFormat="1" ht="15.5" x14ac:dyDescent="0.35">
      <c r="B20" s="785" t="s">
        <v>2201</v>
      </c>
      <c r="D20" s="786"/>
      <c r="E20" s="787"/>
      <c r="F20" s="787"/>
      <c r="H20" s="787"/>
      <c r="I20" s="787"/>
      <c r="J20" s="787"/>
      <c r="K20" s="787"/>
      <c r="L20" s="787"/>
      <c r="M20" s="787"/>
      <c r="N20" s="787"/>
      <c r="O20" s="787"/>
      <c r="P20" s="786"/>
      <c r="Q20" s="787"/>
      <c r="R20" s="787"/>
      <c r="S20" s="787"/>
      <c r="T20" s="787"/>
      <c r="U20" s="787"/>
      <c r="V20" s="787"/>
      <c r="W20" s="787"/>
      <c r="X20" s="787"/>
      <c r="Y20" s="787"/>
      <c r="Z20" s="786"/>
      <c r="AB20" s="786"/>
      <c r="AR20" s="788"/>
      <c r="AS20" s="788"/>
      <c r="AT20" s="788"/>
      <c r="AU20" s="788"/>
      <c r="AV20" s="788"/>
      <c r="AW20" s="788"/>
    </row>
    <row r="21" spans="1:49" s="784" customFormat="1" ht="15.5" x14ac:dyDescent="0.35">
      <c r="B21" s="933" t="s">
        <v>1940</v>
      </c>
      <c r="C21" s="933"/>
      <c r="D21" s="933"/>
      <c r="E21" s="933"/>
      <c r="F21" s="933"/>
      <c r="G21" s="933"/>
      <c r="H21" s="787"/>
      <c r="I21" s="787"/>
      <c r="J21" s="787"/>
      <c r="K21" s="787"/>
      <c r="L21" s="787"/>
      <c r="M21" s="787"/>
      <c r="N21" s="787"/>
      <c r="O21" s="787"/>
      <c r="P21" s="786"/>
      <c r="Q21" s="787"/>
      <c r="R21" s="787"/>
      <c r="S21" s="787"/>
      <c r="T21" s="787"/>
      <c r="U21" s="787"/>
      <c r="V21" s="787"/>
      <c r="W21" s="787"/>
      <c r="X21" s="787"/>
      <c r="Y21" s="787"/>
      <c r="Z21" s="786"/>
      <c r="AB21" s="786"/>
      <c r="AR21" s="788"/>
      <c r="AS21" s="788"/>
      <c r="AT21" s="788"/>
      <c r="AU21" s="788"/>
      <c r="AV21" s="788"/>
      <c r="AW21" s="788"/>
    </row>
    <row r="22" spans="1:49" s="265" customFormat="1" ht="39" x14ac:dyDescent="0.3">
      <c r="A22" s="435" t="str">
        <f>+Parametros!C139</f>
        <v>RIMPE</v>
      </c>
      <c r="K22" s="436" t="s">
        <v>1489</v>
      </c>
      <c r="L22" s="436" t="s">
        <v>1492</v>
      </c>
      <c r="M22" s="553" t="s">
        <v>1982</v>
      </c>
    </row>
    <row r="23" spans="1:49" s="317" customFormat="1" ht="13" x14ac:dyDescent="0.3">
      <c r="A23" s="317" t="s">
        <v>1491</v>
      </c>
      <c r="G23" s="556"/>
      <c r="H23" s="556"/>
      <c r="J23" s="555"/>
      <c r="K23" s="585">
        <f>SUM(K24:K26)</f>
        <v>0</v>
      </c>
      <c r="L23" s="585">
        <f>SUM(L24:L26)</f>
        <v>0</v>
      </c>
      <c r="M23" s="586">
        <f>SUM(M24:M26)</f>
        <v>0</v>
      </c>
    </row>
    <row r="24" spans="1:49" hidden="1" outlineLevel="1" x14ac:dyDescent="0.25">
      <c r="B24" s="934" t="s">
        <v>19</v>
      </c>
      <c r="C24" s="934"/>
      <c r="D24" s="934"/>
      <c r="E24" s="934"/>
      <c r="F24" s="934"/>
      <c r="G24" s="934"/>
      <c r="J24" s="265"/>
      <c r="K24" s="318">
        <f>SUMIFS(VENTAS!$M:$M,VENTAS!$AI:$AI,$A$22,VENTAS!$H:$H,$B24,VENTAS!$BE:$BE,"&lt;7")+SUMIFS(VENTAS!$O:$O,VENTAS!$AI:$AI,$A$22,VENTAS!$H:$H,$B24,VENTAS!$BE:$BE,"&lt;7")+SUMIFS(VENTAS!$P:$P,VENTAS!$AI:$AI,$A$22,VENTAS!$H:$H,$B24,VENTAS!$BE:$BE,"&lt;7")+SUMIFS(VENTAS!$S:$S,VENTAS!$AI:$AI,$A$22,VENTAS!$H:$H,$B24,VENTAS!$BE:$BE,"&lt;7")+SUMIFS(VENTAS!$V:$V,VENTAS!$AI:$AI,$A$22,VENTAS!$H:$H,$B24,VENTAS!$BE:$BE,"&lt;7")</f>
        <v>0</v>
      </c>
      <c r="L24" s="318">
        <f>SUMIFS(VENTAS!$M:$M,VENTAS!$AI:$AI,$A$22,VENTAS!$H:$H,$B24,VENTAS!$BE:$BE,"&gt;6")+SUMIFS(VENTAS!$O:$O,VENTAS!$AI:$AI,$A$22,VENTAS!$H:$H,$B24,VENTAS!$BE:$BE,"&gt;6")+SUMIFS(VENTAS!$P:$P,VENTAS!$AI:$AI,$A$22,VENTAS!$H:$H,$B24,VENTAS!$BE:$BE,"&gt;6")+SUMIFS(VENTAS!$S:$S,VENTAS!$AI:$AI,$A$22,VENTAS!$H:$H,$B24,VENTAS!$BE:$BE,"&gt;6")+SUMIFS(VENTAS!$V:$V,VENTAS!$AI:$AI,$A$22,VENTAS!$H:$H,$B24,VENTAS!$BE:$BE,"&gt;6")</f>
        <v>0</v>
      </c>
      <c r="M24" s="438">
        <f t="shared" ref="M24:M30" si="18">K24+L24</f>
        <v>0</v>
      </c>
    </row>
    <row r="25" spans="1:49" hidden="1" outlineLevel="1" x14ac:dyDescent="0.25">
      <c r="B25" s="934" t="s">
        <v>1072</v>
      </c>
      <c r="C25" s="934"/>
      <c r="D25" s="934"/>
      <c r="E25" s="934"/>
      <c r="F25" s="934"/>
      <c r="G25" s="934"/>
      <c r="J25" s="265"/>
      <c r="K25" s="318">
        <f>SUMIFS(VENTAS!$M:$M,VENTAS!$AI:$AI,$A$22,VENTAS!$H:$H,$B25,VENTAS!$BE:$BE,"&lt;7")+SUMIFS(VENTAS!$O:$O,VENTAS!$AI:$AI,$A$22,VENTAS!$H:$H,$B25,VENTAS!$BE:$BE,"&lt;7")+SUMIFS(VENTAS!$P:$P,VENTAS!$AI:$AI,$A$22,VENTAS!$H:$H,$B25,VENTAS!$BE:$BE,"&lt;7")+SUMIFS(VENTAS!$S:$S,VENTAS!$AI:$AI,$A$22,VENTAS!$H:$H,$B25,VENTAS!$BE:$BE,"&lt;7")+SUMIFS(VENTAS!$V:$V,VENTAS!$AI:$AI,$A$22,VENTAS!$H:$H,$B25,VENTAS!$BE:$BE,"&lt;7")</f>
        <v>0</v>
      </c>
      <c r="L25" s="318">
        <f>SUMIFS(VENTAS!$M:$M,VENTAS!$AI:$AI,$A$22,VENTAS!$H:$H,$B25,VENTAS!$BE:$BE,"&gt;6")+SUMIFS(VENTAS!$O:$O,VENTAS!$AI:$AI,$A$22,VENTAS!$H:$H,$B25,VENTAS!$BE:$BE,"&gt;6")+SUMIFS(VENTAS!$P:$P,VENTAS!$AI:$AI,$A$22,VENTAS!$H:$H,$B25,VENTAS!$BE:$BE,"&gt;6")+SUMIFS(VENTAS!$S:$S,VENTAS!$AI:$AI,$A$22,VENTAS!$H:$H,$B25,VENTAS!$BE:$BE,"&gt;6")+SUMIFS(VENTAS!$V:$V,VENTAS!$AI:$AI,$A$22,VENTAS!$H:$H,$B25,VENTAS!$BE:$BE,"&gt;6")</f>
        <v>0</v>
      </c>
      <c r="M25" s="438">
        <f t="shared" si="18"/>
        <v>0</v>
      </c>
    </row>
    <row r="26" spans="1:49" hidden="1" outlineLevel="1" x14ac:dyDescent="0.25">
      <c r="B26" s="934"/>
      <c r="C26" s="934"/>
      <c r="D26" s="934"/>
      <c r="E26" s="934"/>
      <c r="F26" s="934"/>
      <c r="G26" s="934"/>
      <c r="J26" s="265"/>
      <c r="K26" s="318">
        <f>SUMIFS(VENTAS!$M:$M,VENTAS!$AI:$AI,$A$22,VENTAS!$H:$H,$B26,VENTAS!$BE:$BE,"&lt;7")+SUMIFS(VENTAS!$O:$O,VENTAS!$AI:$AI,$A$22,VENTAS!$H:$H,$B26,VENTAS!$BE:$BE,"&lt;7")+SUMIFS(VENTAS!$P:$P,VENTAS!$AI:$AI,$A$22,VENTAS!$H:$H,$B26,VENTAS!$BE:$BE,"&lt;7")+SUMIFS(VENTAS!$S:$S,VENTAS!$AI:$AI,$A$22,VENTAS!$H:$H,$B26,VENTAS!$BE:$BE,"&lt;7")+SUMIFS(VENTAS!$V:$V,VENTAS!$AI:$AI,$A$22,VENTAS!$H:$H,$B26,VENTAS!$BE:$BE,"&lt;7")</f>
        <v>0</v>
      </c>
      <c r="L26" s="318">
        <f>SUMIFS(VENTAS!$M:$M,VENTAS!$AI:$AI,$A$22,VENTAS!$H:$H,$B26,VENTAS!$BE:$BE,"&gt;6")+SUMIFS(VENTAS!$O:$O,VENTAS!$AI:$AI,$A$22,VENTAS!$H:$H,$B26,VENTAS!$BE:$BE,"&gt;6")+SUMIFS(VENTAS!$P:$P,VENTAS!$AI:$AI,$A$22,VENTAS!$H:$H,$B26,VENTAS!$BE:$BE,"&gt;6")+SUMIFS(VENTAS!$S:$S,VENTAS!$AI:$AI,$A$22,VENTAS!$H:$H,$B26,VENTAS!$BE:$BE,"&gt;6")+SUMIFS(VENTAS!$V:$V,VENTAS!$AI:$AI,$A$22,VENTAS!$H:$H,$B26,VENTAS!$BE:$BE,"&gt;6")</f>
        <v>0</v>
      </c>
      <c r="M26" s="438">
        <f t="shared" si="18"/>
        <v>0</v>
      </c>
    </row>
    <row r="27" spans="1:49" s="317" customFormat="1" ht="13" collapsed="1" x14ac:dyDescent="0.3">
      <c r="A27" s="317" t="s">
        <v>1490</v>
      </c>
      <c r="J27" s="555"/>
      <c r="K27" s="585">
        <f>SUM(K28:K30)</f>
        <v>0</v>
      </c>
      <c r="L27" s="585">
        <f>SUM(L28:L30)</f>
        <v>0</v>
      </c>
      <c r="M27" s="585">
        <f>SUM(M28:M30)</f>
        <v>0</v>
      </c>
    </row>
    <row r="28" spans="1:49" hidden="1" outlineLevel="1" x14ac:dyDescent="0.25">
      <c r="B28" s="934" t="s">
        <v>12</v>
      </c>
      <c r="C28" s="934"/>
      <c r="D28" s="934"/>
      <c r="E28" s="934"/>
      <c r="F28" s="934"/>
      <c r="G28" s="934"/>
      <c r="J28" s="265"/>
      <c r="K28" s="441">
        <f>SUMIFS(VENTAS!$M:$M,VENTAS!$AI:$AI,$A$22,VENTAS!$H:$H,$B28,VENTAS!$BE:$BE,"&lt;7")+SUMIFS(VENTAS!$O:$O,VENTAS!$AI:$AI,$A$22,VENTAS!$H:$H,$B28,VENTAS!$BE:$BE,"&lt;7")+SUMIFS(VENTAS!$P:$P,VENTAS!$AI:$AI,$A$22,VENTAS!$H:$H,$B28,VENTAS!$BE:$BE,"&lt;7")+SUMIFS(VENTAS!$S:$S,VENTAS!$AI:$AI,$A$22,VENTAS!$H:$H,$B28,VENTAS!$BE:$BE,"&lt;7")+SUMIFS(VENTAS!$V:$V,VENTAS!$AI:$AI,$A$22,VENTAS!$H:$H,$B28,VENTAS!$BE:$BE,"&lt;7")</f>
        <v>0</v>
      </c>
      <c r="L28" s="441">
        <f>SUMIFS(VENTAS!$M:$M,VENTAS!$AI:$AI,$A$22,VENTAS!$H:$H,$B28,VENTAS!$BE:$BE,"&gt;6")+SUMIFS(VENTAS!$O:$O,VENTAS!$AI:$AI,$A$22,VENTAS!$H:$H,$B28,VENTAS!$BE:$BE,"&gt;6")+SUMIFS(VENTAS!$P:$P,VENTAS!$AI:$AI,$A$22,VENTAS!$H:$H,$B28,VENTAS!$BE:$BE,"&gt;6")+SUMIFS(VENTAS!$S:$S,VENTAS!$AI:$AI,$A$22,VENTAS!$H:$H,$B28,VENTAS!$BE:$BE,"&gt;6")+SUMIFS(VENTAS!$V:$V,VENTAS!$AI:$AI,$A$22,VENTAS!$H:$H,$B28,VENTAS!$BE:$BE,"&gt;6")</f>
        <v>0</v>
      </c>
      <c r="M28" s="438">
        <f t="shared" si="18"/>
        <v>0</v>
      </c>
    </row>
    <row r="29" spans="1:49" hidden="1" outlineLevel="1" x14ac:dyDescent="0.25">
      <c r="B29" s="934" t="s">
        <v>1075</v>
      </c>
      <c r="C29" s="934"/>
      <c r="D29" s="934"/>
      <c r="E29" s="934"/>
      <c r="F29" s="934"/>
      <c r="G29" s="934"/>
      <c r="J29" s="265"/>
      <c r="K29" s="318">
        <f>SUMIFS(VENTAS!$M:$M,VENTAS!$AI:$AI,$A$22,VENTAS!$H:$H,$B29,VENTAS!$BE:$BE,"&lt;7")+SUMIFS(VENTAS!$O:$O,VENTAS!$AI:$AI,$A$22,VENTAS!$H:$H,$B29,VENTAS!$BE:$BE,"&lt;7")+SUMIFS(VENTAS!$P:$P,VENTAS!$AI:$AI,$A$22,VENTAS!$H:$H,$B29,VENTAS!$BE:$BE,"&lt;7")+SUMIFS(VENTAS!$S:$S,VENTAS!$AI:$AI,$A$22,VENTAS!$H:$H,$B29,VENTAS!$BE:$BE,"&lt;7")+SUMIFS(VENTAS!$V:$V,VENTAS!$AI:$AI,$A$22,VENTAS!$H:$H,$B29,VENTAS!$BE:$BE,"&lt;7")</f>
        <v>0</v>
      </c>
      <c r="L29" s="318">
        <f>SUMIFS(VENTAS!$M:$M,VENTAS!$AI:$AI,$A$22,VENTAS!$H:$H,$B29,VENTAS!$BE:$BE,"&gt;6")+SUMIFS(VENTAS!$O:$O,VENTAS!$AI:$AI,$A$22,VENTAS!$H:$H,$B29,VENTAS!$BE:$BE,"&gt;6")+SUMIFS(VENTAS!$P:$P,VENTAS!$AI:$AI,$A$22,VENTAS!$H:$H,$B29,VENTAS!$BE:$BE,"&gt;6")+SUMIFS(VENTAS!$S:$S,VENTAS!$AI:$AI,$A$22,VENTAS!$H:$H,$B29,VENTAS!$BE:$BE,"&gt;6")+SUMIFS(VENTAS!$V:$V,VENTAS!$AI:$AI,$A$22,VENTAS!$H:$H,$B29,VENTAS!$BE:$BE,"&gt;6")</f>
        <v>0</v>
      </c>
      <c r="M29" s="438">
        <f t="shared" si="18"/>
        <v>0</v>
      </c>
    </row>
    <row r="30" spans="1:49" hidden="1" outlineLevel="1" x14ac:dyDescent="0.25">
      <c r="B30" s="934"/>
      <c r="C30" s="934"/>
      <c r="D30" s="934"/>
      <c r="E30" s="934"/>
      <c r="F30" s="934"/>
      <c r="G30" s="934"/>
      <c r="J30" s="265"/>
      <c r="K30" s="441">
        <f>SUMIFS(VENTAS!$M:$M,VENTAS!$AI:$AI,$A$22,VENTAS!$H:$H,$B30,VENTAS!$BE:$BE,"&lt;7")+SUMIFS(VENTAS!$O:$O,VENTAS!$AI:$AI,$A$22,VENTAS!$H:$H,$B30,VENTAS!$BE:$BE,"&lt;7")+SUMIFS(VENTAS!$P:$P,VENTAS!$AI:$AI,$A$22,VENTAS!$H:$H,$B30,VENTAS!$BE:$BE,"&lt;7")+SUMIFS(VENTAS!$S:$S,VENTAS!$AI:$AI,$A$22,VENTAS!$H:$H,$B30,VENTAS!$BE:$BE,"&lt;7")+SUMIFS(VENTAS!$V:$V,VENTAS!$AI:$AI,$A$22,VENTAS!$H:$H,$B30,VENTAS!$BE:$BE,"&lt;7")</f>
        <v>0</v>
      </c>
      <c r="L30" s="441">
        <f>SUMIFS(VENTAS!$M:$M,VENTAS!$AI:$AI,$A$22,VENTAS!$H:$H,$B30,VENTAS!$BE:$BE,"&gt;6")+SUMIFS(VENTAS!$O:$O,VENTAS!$AI:$AI,$A$22,VENTAS!$H:$H,$B30,VENTAS!$BE:$BE,"&gt;6")+SUMIFS(VENTAS!$P:$P,VENTAS!$AI:$AI,$A$22,VENTAS!$H:$H,$B30,VENTAS!$BE:$BE,"&gt;6")+SUMIFS(VENTAS!$S:$S,VENTAS!$AI:$AI,$A$22,VENTAS!$H:$H,$B30,VENTAS!$BE:$BE,"&gt;6")+SUMIFS(VENTAS!$V:$V,VENTAS!$AI:$AI,$A$22,VENTAS!$H:$H,$B30,VENTAS!$BE:$BE,"&gt;6")</f>
        <v>0</v>
      </c>
      <c r="M30" s="441">
        <f t="shared" si="18"/>
        <v>0</v>
      </c>
    </row>
    <row r="31" spans="1:49" s="317" customFormat="1" ht="13.5" collapsed="1" thickBot="1" x14ac:dyDescent="0.35">
      <c r="A31" s="317" t="s">
        <v>989</v>
      </c>
      <c r="B31" s="547"/>
      <c r="C31" s="547"/>
      <c r="D31" s="547"/>
      <c r="E31" s="547"/>
      <c r="F31" s="547"/>
      <c r="G31" s="547"/>
      <c r="H31" s="547"/>
      <c r="I31" s="547"/>
      <c r="J31" s="265"/>
      <c r="K31" s="554">
        <f>K23+K27</f>
        <v>0</v>
      </c>
      <c r="L31" s="554">
        <f>L23+L27</f>
        <v>0</v>
      </c>
      <c r="M31" s="554">
        <f>K31+L31</f>
        <v>0</v>
      </c>
    </row>
    <row r="32" spans="1:49" ht="13.5" thickTop="1" x14ac:dyDescent="0.3">
      <c r="A32" s="263" t="s">
        <v>1983</v>
      </c>
      <c r="K32" s="438"/>
      <c r="L32" s="438"/>
      <c r="M32" s="437">
        <f>IF(B21="RIMPE EMPRENDEDOR",VLOOKUP(M31,tbl_Empre,3,1),IF(B21="RIMPE NEGOCIO POPULAR",VLOOKUP(M31,tbl_NegPop,3,1),0))</f>
        <v>0</v>
      </c>
    </row>
    <row r="33" spans="1:27" ht="13" x14ac:dyDescent="0.3">
      <c r="A33" s="263" t="s">
        <v>1984</v>
      </c>
      <c r="H33" s="439"/>
      <c r="J33" s="463"/>
      <c r="K33" s="438"/>
      <c r="L33" s="438"/>
      <c r="M33" s="437">
        <f>IF(B21="RIMPE EMPRENDEDOR",(M31-VLOOKUP(M31,tbl_Empre,1,1))*VLOOKUP(M31,tbl_Empre,4,1),0)</f>
        <v>0</v>
      </c>
    </row>
    <row r="34" spans="1:27" ht="13" x14ac:dyDescent="0.3">
      <c r="A34" s="263" t="s">
        <v>1521</v>
      </c>
      <c r="K34" s="441">
        <f>-SUMIFS(VENTAS!$AS:$AS,VENTAS!$AI:$AI,$A$22,VENTAS!$BE:$BE,"&lt;7")</f>
        <v>0</v>
      </c>
      <c r="L34" s="441">
        <f>-SUMIFS(VENTAS!$AS:$AS,VENTAS!$AI:$AI,$A$22,VENTAS!$BE:$BE,"&gt;6")</f>
        <v>0</v>
      </c>
      <c r="M34" s="437">
        <f>SUM(K34:L34)</f>
        <v>0</v>
      </c>
    </row>
    <row r="35" spans="1:27" ht="13.5" thickBot="1" x14ac:dyDescent="0.35">
      <c r="A35" s="317" t="s">
        <v>1493</v>
      </c>
      <c r="K35" s="554">
        <f t="shared" ref="K35:L35" si="19">SUM(K32:K34)</f>
        <v>0</v>
      </c>
      <c r="L35" s="554">
        <f t="shared" si="19"/>
        <v>0</v>
      </c>
      <c r="M35" s="554">
        <f>SUM(M32:M34)</f>
        <v>0</v>
      </c>
    </row>
    <row r="36" spans="1:27" s="548" customFormat="1" ht="14" thickTop="1" thickBot="1" x14ac:dyDescent="0.35">
      <c r="A36" s="557"/>
      <c r="K36" s="558"/>
      <c r="L36" s="558"/>
      <c r="M36" s="558"/>
    </row>
    <row r="37" spans="1:27" s="265" customFormat="1" ht="39" x14ac:dyDescent="0.3">
      <c r="A37" s="435" t="str">
        <f>Parametros!C140</f>
        <v>MICROEMPRESA Y ACTIVIDADES  INCLUYENTES</v>
      </c>
      <c r="K37" s="436" t="s">
        <v>1489</v>
      </c>
      <c r="L37" s="436" t="s">
        <v>1492</v>
      </c>
      <c r="M37" s="553" t="s">
        <v>1982</v>
      </c>
    </row>
    <row r="38" spans="1:27" s="317" customFormat="1" ht="13" x14ac:dyDescent="0.3">
      <c r="A38" s="317" t="s">
        <v>1491</v>
      </c>
      <c r="G38" s="556"/>
      <c r="H38" s="556"/>
      <c r="J38" s="555"/>
      <c r="K38" s="585">
        <f>SUM(K39:K41)</f>
        <v>0</v>
      </c>
      <c r="L38" s="585">
        <f>SUM(L39:L41)</f>
        <v>0</v>
      </c>
      <c r="M38" s="555"/>
    </row>
    <row r="39" spans="1:27" hidden="1" outlineLevel="1" x14ac:dyDescent="0.25">
      <c r="B39" s="934" t="s">
        <v>19</v>
      </c>
      <c r="C39" s="934"/>
      <c r="D39" s="934"/>
      <c r="E39" s="934"/>
      <c r="F39" s="934"/>
      <c r="G39" s="934"/>
      <c r="J39" s="265"/>
      <c r="K39" s="318">
        <f>SUMIFS(VENTAS!$M:$M,VENTAS!$AI:$AI,$A$22,VENTAS!$H:$H,$B39,VENTAS!$BE:$BE,"&lt;7")+SUMIFS(VENTAS!$O:$O,VENTAS!$AI:$AI,$A$22,VENTAS!$H:$H,$B39,VENTAS!$BE:$BE,"&lt;7")+SUMIFS(VENTAS!$P:$P,VENTAS!$AI:$AI,$A$22,VENTAS!$H:$H,$B39,VENTAS!$BE:$BE,"&lt;7")+SUMIFS(VENTAS!$S:$S,VENTAS!$AI:$AI,$A$22,VENTAS!$H:$H,$B39,VENTAS!$BE:$BE,"&lt;7")+SUMIFS(VENTAS!$V:$V,VENTAS!$AI:$AI,$A$22,VENTAS!$H:$H,$B39,VENTAS!$BE:$BE,"&lt;7")</f>
        <v>0</v>
      </c>
      <c r="L39" s="318">
        <f>SUMIFS(VENTAS!$M:$M,VENTAS!$AI:$AI,$A$22,VENTAS!$H:$H,$B39,VENTAS!$BE:$BE,"&gt;6")+SUMIFS(VENTAS!$O:$O,VENTAS!$AI:$AI,$A$22,VENTAS!$H:$H,$B39,VENTAS!$BE:$BE,"&gt;6")+SUMIFS(VENTAS!$P:$P,VENTAS!$AI:$AI,$A$22,VENTAS!$H:$H,$B39,VENTAS!$BE:$BE,"&gt;6")+SUMIFS(VENTAS!$S:$S,VENTAS!$AI:$AI,$A$22,VENTAS!$H:$H,$B39,VENTAS!$BE:$BE,"&gt;6")+SUMIFS(VENTAS!$V:$V,VENTAS!$AI:$AI,$A$22,VENTAS!$H:$H,$B39,VENTAS!$BE:$BE,"&gt;6")</f>
        <v>0</v>
      </c>
      <c r="M39" s="265"/>
    </row>
    <row r="40" spans="1:27" hidden="1" outlineLevel="1" x14ac:dyDescent="0.25">
      <c r="B40" s="934" t="s">
        <v>1072</v>
      </c>
      <c r="C40" s="934"/>
      <c r="D40" s="934"/>
      <c r="E40" s="934"/>
      <c r="F40" s="934"/>
      <c r="G40" s="934"/>
      <c r="J40" s="265"/>
      <c r="K40" s="318">
        <f>SUMIFS(VENTAS!$M:$M,VENTAS!$AI:$AI,$A$22,VENTAS!$H:$H,$B40,VENTAS!$BE:$BE,"&lt;7")+SUMIFS(VENTAS!$O:$O,VENTAS!$AI:$AI,$A$22,VENTAS!$H:$H,$B40,VENTAS!$BE:$BE,"&lt;7")+SUMIFS(VENTAS!$P:$P,VENTAS!$AI:$AI,$A$22,VENTAS!$H:$H,$B40,VENTAS!$BE:$BE,"&lt;7")+SUMIFS(VENTAS!$S:$S,VENTAS!$AI:$AI,$A$22,VENTAS!$H:$H,$B40,VENTAS!$BE:$BE,"&lt;7")+SUMIFS(VENTAS!$V:$V,VENTAS!$AI:$AI,$A$22,VENTAS!$H:$H,$B40,VENTAS!$BE:$BE,"&lt;7")</f>
        <v>0</v>
      </c>
      <c r="L40" s="318">
        <f>SUMIFS(VENTAS!$M:$M,VENTAS!$AI:$AI,$A$22,VENTAS!$H:$H,$B40,VENTAS!$BE:$BE,"&gt;6")+SUMIFS(VENTAS!$O:$O,VENTAS!$AI:$AI,$A$22,VENTAS!$H:$H,$B40,VENTAS!$BE:$BE,"&gt;6")+SUMIFS(VENTAS!$P:$P,VENTAS!$AI:$AI,$A$22,VENTAS!$H:$H,$B40,VENTAS!$BE:$BE,"&gt;6")+SUMIFS(VENTAS!$S:$S,VENTAS!$AI:$AI,$A$22,VENTAS!$H:$H,$B40,VENTAS!$BE:$BE,"&gt;6")+SUMIFS(VENTAS!$V:$V,VENTAS!$AI:$AI,$A$22,VENTAS!$H:$H,$B40,VENTAS!$BE:$BE,"&gt;6")</f>
        <v>0</v>
      </c>
      <c r="M40" s="265"/>
    </row>
    <row r="41" spans="1:27" hidden="1" outlineLevel="1" x14ac:dyDescent="0.25">
      <c r="B41" s="934"/>
      <c r="C41" s="934"/>
      <c r="D41" s="934"/>
      <c r="E41" s="934"/>
      <c r="F41" s="934"/>
      <c r="G41" s="934"/>
      <c r="J41" s="265"/>
      <c r="K41" s="318">
        <f>SUMIFS(VENTAS!$M:$M,VENTAS!$AI:$AI,$A$22,VENTAS!$H:$H,$B41,VENTAS!$BE:$BE,"&lt;7")+SUMIFS(VENTAS!$O:$O,VENTAS!$AI:$AI,$A$22,VENTAS!$H:$H,$B41,VENTAS!$BE:$BE,"&lt;7")+SUMIFS(VENTAS!$P:$P,VENTAS!$AI:$AI,$A$22,VENTAS!$H:$H,$B41,VENTAS!$BE:$BE,"&lt;7")+SUMIFS(VENTAS!$S:$S,VENTAS!$AI:$AI,$A$22,VENTAS!$H:$H,$B41,VENTAS!$BE:$BE,"&lt;7")+SUMIFS(VENTAS!$V:$V,VENTAS!$AI:$AI,$A$22,VENTAS!$H:$H,$B41,VENTAS!$BE:$BE,"&lt;7")</f>
        <v>0</v>
      </c>
      <c r="L41" s="318">
        <f>SUMIFS(VENTAS!$M:$M,VENTAS!$AI:$AI,$A$22,VENTAS!$H:$H,$B41,VENTAS!$BE:$BE,"&gt;6")+SUMIFS(VENTAS!$O:$O,VENTAS!$AI:$AI,$A$22,VENTAS!$H:$H,$B41,VENTAS!$BE:$BE,"&gt;6")+SUMIFS(VENTAS!$P:$P,VENTAS!$AI:$AI,$A$22,VENTAS!$H:$H,$B41,VENTAS!$BE:$BE,"&gt;6")+SUMIFS(VENTAS!$S:$S,VENTAS!$AI:$AI,$A$22,VENTAS!$H:$H,$B41,VENTAS!$BE:$BE,"&gt;6")+SUMIFS(VENTAS!$V:$V,VENTAS!$AI:$AI,$A$22,VENTAS!$H:$H,$B41,VENTAS!$BE:$BE,"&gt;6")</f>
        <v>0</v>
      </c>
      <c r="M41" s="265"/>
    </row>
    <row r="42" spans="1:27" s="317" customFormat="1" ht="13" collapsed="1" x14ac:dyDescent="0.3">
      <c r="A42" s="317" t="s">
        <v>1490</v>
      </c>
      <c r="J42" s="555"/>
      <c r="K42" s="585">
        <f>SUM(K43:K45)</f>
        <v>0</v>
      </c>
      <c r="L42" s="585">
        <f>SUM(L43:L45)</f>
        <v>0</v>
      </c>
      <c r="M42" s="555"/>
    </row>
    <row r="43" spans="1:27" hidden="1" outlineLevel="1" x14ac:dyDescent="0.25">
      <c r="B43" s="934" t="s">
        <v>12</v>
      </c>
      <c r="C43" s="934"/>
      <c r="D43" s="934"/>
      <c r="E43" s="934"/>
      <c r="F43" s="934"/>
      <c r="G43" s="934"/>
      <c r="J43" s="265"/>
      <c r="K43" s="318">
        <f>SUMIFS(VENTAS!$M:$M,VENTAS!$AI:$AI,$A$22,VENTAS!$H:$H,$B43,VENTAS!$BE:$BE,"&lt;7")+SUMIFS(VENTAS!$O:$O,VENTAS!$AI:$AI,$A$22,VENTAS!$H:$H,$B43,VENTAS!$BE:$BE,"&lt;7")+SUMIFS(VENTAS!$P:$P,VENTAS!$AI:$AI,$A$22,VENTAS!$H:$H,$B43,VENTAS!$BE:$BE,"&lt;7")+SUMIFS(VENTAS!$S:$S,VENTAS!$AI:$AI,$A$22,VENTAS!$H:$H,$B43,VENTAS!$BE:$BE,"&lt;7")+SUMIFS(VENTAS!$V:$V,VENTAS!$AI:$AI,$A$22,VENTAS!$H:$H,$B43,VENTAS!$BE:$BE,"&lt;7")</f>
        <v>0</v>
      </c>
      <c r="L43" s="318">
        <f>SUMIFS(VENTAS!$M:$M,VENTAS!$AI:$AI,$A$22,VENTAS!$H:$H,$B43,VENTAS!$BE:$BE,"&gt;6")+SUMIFS(VENTAS!$O:$O,VENTAS!$AI:$AI,$A$22,VENTAS!$H:$H,$B43,VENTAS!$BE:$BE,"&gt;6")+SUMIFS(VENTAS!$P:$P,VENTAS!$AI:$AI,$A$22,VENTAS!$H:$H,$B43,VENTAS!$BE:$BE,"&gt;6")+SUMIFS(VENTAS!$S:$S,VENTAS!$AI:$AI,$A$22,VENTAS!$H:$H,$B43,VENTAS!$BE:$BE,"&gt;6")+SUMIFS(VENTAS!$V:$V,VENTAS!$AI:$AI,$A$22,VENTAS!$H:$H,$B43,VENTAS!$BE:$BE,"&gt;6")</f>
        <v>0</v>
      </c>
      <c r="M43" s="265"/>
    </row>
    <row r="44" spans="1:27" hidden="1" outlineLevel="1" x14ac:dyDescent="0.25">
      <c r="B44" s="934" t="s">
        <v>1075</v>
      </c>
      <c r="C44" s="934"/>
      <c r="D44" s="934"/>
      <c r="E44" s="934"/>
      <c r="F44" s="934"/>
      <c r="G44" s="934"/>
      <c r="J44" s="265"/>
      <c r="K44" s="318">
        <f>SUMIFS(VENTAS!$M:$M,VENTAS!$AI:$AI,$A$22,VENTAS!$H:$H,$B44,VENTAS!$BE:$BE,"&lt;7")+SUMIFS(VENTAS!$O:$O,VENTAS!$AI:$AI,$A$22,VENTAS!$H:$H,$B44,VENTAS!$BE:$BE,"&lt;7")+SUMIFS(VENTAS!$P:$P,VENTAS!$AI:$AI,$A$22,VENTAS!$H:$H,$B44,VENTAS!$BE:$BE,"&lt;7")+SUMIFS(VENTAS!$S:$S,VENTAS!$AI:$AI,$A$22,VENTAS!$H:$H,$B44,VENTAS!$BE:$BE,"&lt;7")+SUMIFS(VENTAS!$V:$V,VENTAS!$AI:$AI,$A$22,VENTAS!$H:$H,$B44,VENTAS!$BE:$BE,"&lt;7")</f>
        <v>0</v>
      </c>
      <c r="L44" s="318">
        <f>SUMIFS(VENTAS!$M:$M,VENTAS!$AI:$AI,$A$22,VENTAS!$H:$H,$B44,VENTAS!$BE:$BE,"&gt;6")+SUMIFS(VENTAS!$O:$O,VENTAS!$AI:$AI,$A$22,VENTAS!$H:$H,$B44,VENTAS!$BE:$BE,"&gt;6")+SUMIFS(VENTAS!$P:$P,VENTAS!$AI:$AI,$A$22,VENTAS!$H:$H,$B44,VENTAS!$BE:$BE,"&gt;6")+SUMIFS(VENTAS!$S:$S,VENTAS!$AI:$AI,$A$22,VENTAS!$H:$H,$B44,VENTAS!$BE:$BE,"&gt;6")+SUMIFS(VENTAS!$V:$V,VENTAS!$AI:$AI,$A$22,VENTAS!$H:$H,$B44,VENTAS!$BE:$BE,"&gt;6")</f>
        <v>0</v>
      </c>
      <c r="M44" s="265"/>
    </row>
    <row r="45" spans="1:27" hidden="1" outlineLevel="1" x14ac:dyDescent="0.25">
      <c r="B45" s="934"/>
      <c r="C45" s="934"/>
      <c r="D45" s="934"/>
      <c r="E45" s="934"/>
      <c r="F45" s="934"/>
      <c r="G45" s="934"/>
      <c r="J45" s="265"/>
      <c r="K45" s="318">
        <f>SUMIFS(VENTAS!$M:$M,VENTAS!$AI:$AI,$A$22,VENTAS!$H:$H,$B45,VENTAS!$BE:$BE,"&lt;7")+SUMIFS(VENTAS!$O:$O,VENTAS!$AI:$AI,$A$22,VENTAS!$H:$H,$B45,VENTAS!$BE:$BE,"&lt;7")+SUMIFS(VENTAS!$P:$P,VENTAS!$AI:$AI,$A$22,VENTAS!$H:$H,$B45,VENTAS!$BE:$BE,"&lt;7")+SUMIFS(VENTAS!$S:$S,VENTAS!$AI:$AI,$A$22,VENTAS!$H:$H,$B45,VENTAS!$BE:$BE,"&lt;7")+SUMIFS(VENTAS!$V:$V,VENTAS!$AI:$AI,$A$22,VENTAS!$H:$H,$B45,VENTAS!$BE:$BE,"&lt;7")</f>
        <v>0</v>
      </c>
      <c r="L45" s="318">
        <f>SUMIFS(VENTAS!$M:$M,VENTAS!$AI:$AI,$A$22,VENTAS!$H:$H,$B45,VENTAS!$BE:$BE,"&gt;6")+SUMIFS(VENTAS!$O:$O,VENTAS!$AI:$AI,$A$22,VENTAS!$H:$H,$B45,VENTAS!$BE:$BE,"&gt;6")+SUMIFS(VENTAS!$P:$P,VENTAS!$AI:$AI,$A$22,VENTAS!$H:$H,$B45,VENTAS!$BE:$BE,"&gt;6")+SUMIFS(VENTAS!$S:$S,VENTAS!$AI:$AI,$A$22,VENTAS!$H:$H,$B45,VENTAS!$BE:$BE,"&gt;6")+SUMIFS(VENTAS!$V:$V,VENTAS!$AI:$AI,$A$22,VENTAS!$H:$H,$B45,VENTAS!$BE:$BE,"&gt;6")</f>
        <v>0</v>
      </c>
      <c r="M45" s="265"/>
    </row>
    <row r="46" spans="1:27" s="317" customFormat="1" ht="13.5" hidden="1" outlineLevel="1" thickBot="1" x14ac:dyDescent="0.35">
      <c r="A46" s="317" t="s">
        <v>989</v>
      </c>
      <c r="K46" s="554">
        <f>K38+K42</f>
        <v>0</v>
      </c>
      <c r="L46" s="554">
        <f>L38+L42</f>
        <v>0</v>
      </c>
      <c r="M46" s="554">
        <f>SUM(K46:L46)</f>
        <v>0</v>
      </c>
    </row>
    <row r="47" spans="1:27" ht="13" collapsed="1" x14ac:dyDescent="0.3">
      <c r="A47" s="263" t="s">
        <v>1520</v>
      </c>
      <c r="H47" s="439"/>
      <c r="J47" s="463">
        <v>0.02</v>
      </c>
      <c r="K47" s="438">
        <f>K46*J47</f>
        <v>0</v>
      </c>
      <c r="L47" s="438">
        <f>L46*J47</f>
        <v>0</v>
      </c>
      <c r="M47" s="437">
        <f>SUM(K47:L47)</f>
        <v>0</v>
      </c>
      <c r="T47" s="317"/>
      <c r="U47" s="317"/>
      <c r="V47" s="317"/>
      <c r="W47" s="317"/>
      <c r="X47" s="317"/>
      <c r="Y47" s="317"/>
      <c r="Z47" s="317"/>
      <c r="AA47" s="317"/>
    </row>
    <row r="48" spans="1:27" ht="13" x14ac:dyDescent="0.3">
      <c r="A48" s="263" t="s">
        <v>1521</v>
      </c>
      <c r="K48" s="441">
        <f>-SUMIFS(VENTAS!$AS:$AS,VENTAS!$AI:$AI,$A$37,VENTAS!$BE:$BE,"&lt;7")</f>
        <v>0</v>
      </c>
      <c r="L48" s="441">
        <f>-SUMIFS(VENTAS!$AS:$AS,VENTAS!$AI:$AI,$A$37,VENTAS!$BE:$BE,"&gt;6")</f>
        <v>0</v>
      </c>
      <c r="M48" s="437">
        <f>SUM(K48:L48)</f>
        <v>0</v>
      </c>
    </row>
    <row r="49" spans="1:24" ht="13.5" thickBot="1" x14ac:dyDescent="0.35">
      <c r="A49" s="317" t="s">
        <v>1493</v>
      </c>
      <c r="K49" s="554">
        <f>SUM(K47:K48)</f>
        <v>0</v>
      </c>
      <c r="L49" s="554">
        <f>SUM(L47:L48)</f>
        <v>0</v>
      </c>
      <c r="M49" s="554">
        <f>SUM(M47:M48)</f>
        <v>0</v>
      </c>
    </row>
    <row r="50" spans="1:24" s="548" customFormat="1" ht="13.5" thickTop="1" thickBot="1" x14ac:dyDescent="0.3"/>
    <row r="52" spans="1:24" ht="13" x14ac:dyDescent="0.3">
      <c r="J52" s="436"/>
      <c r="K52" s="436" t="s">
        <v>1988</v>
      </c>
      <c r="L52" s="436" t="s">
        <v>1494</v>
      </c>
      <c r="M52" s="436" t="s">
        <v>1507</v>
      </c>
      <c r="N52" s="436"/>
      <c r="O52" s="436"/>
      <c r="P52" s="436"/>
      <c r="Q52" s="436"/>
      <c r="R52" s="436"/>
      <c r="S52" s="436"/>
      <c r="U52" s="317" t="s">
        <v>1503</v>
      </c>
    </row>
    <row r="53" spans="1:24" ht="13" x14ac:dyDescent="0.25">
      <c r="A53" s="934" t="str">
        <f>A22</f>
        <v>RIMPE</v>
      </c>
      <c r="B53" s="934"/>
      <c r="C53" s="934"/>
      <c r="D53" s="934"/>
      <c r="E53" s="934"/>
      <c r="F53" s="934"/>
      <c r="G53" s="934"/>
      <c r="H53" s="934"/>
      <c r="I53" s="934"/>
      <c r="J53" s="436"/>
      <c r="K53" s="441">
        <f>M31</f>
        <v>0</v>
      </c>
      <c r="L53" s="441">
        <f>SUMIF(COMPRAS!AR:AR,A53,COMPRAS!U:U)+SUMIF(COMPRAS!AR:AR,A53,COMPRAS!W:W)+SUMIF(COMPRAS!AR:AR,A53,COMPRAS!X:X)+SUMIF(COMPRAS!AR:AR,A53,COMPRAS!AA:AA)+SUMIF(COMPRAS!AR:AR,A53,COMPRAS!AD:AD)</f>
        <v>0</v>
      </c>
      <c r="M53" s="438">
        <f>ABS(M34)</f>
        <v>0</v>
      </c>
      <c r="N53" s="436"/>
      <c r="O53" s="436"/>
      <c r="P53" s="436"/>
      <c r="Q53" s="436"/>
      <c r="R53" s="438"/>
      <c r="S53" s="438"/>
      <c r="T53" s="436"/>
      <c r="U53" s="448" t="s">
        <v>1504</v>
      </c>
      <c r="V53" s="444" t="s">
        <v>1008</v>
      </c>
      <c r="W53" s="444" t="s">
        <v>1226</v>
      </c>
      <c r="X53" s="449" t="s">
        <v>1508</v>
      </c>
    </row>
    <row r="54" spans="1:24" ht="13" thickBot="1" x14ac:dyDescent="0.3">
      <c r="A54" s="952" t="str">
        <f>A37</f>
        <v>MICROEMPRESA Y ACTIVIDADES  INCLUYENTES</v>
      </c>
      <c r="B54" s="952"/>
      <c r="C54" s="952"/>
      <c r="D54" s="952"/>
      <c r="E54" s="952"/>
      <c r="F54" s="952"/>
      <c r="G54" s="952"/>
      <c r="H54" s="952"/>
      <c r="I54" s="952"/>
      <c r="J54" s="440"/>
      <c r="K54" s="440">
        <f>M46</f>
        <v>0</v>
      </c>
      <c r="L54" s="440">
        <f>SUMIF(COMPRAS!AR:AR,A54,COMPRAS!U:U)+SUMIF(COMPRAS!AR:AR,A54,COMPRAS!W:W)+SUMIF(COMPRAS!AR:AR,A54,COMPRAS!X:X)+SUMIF(COMPRAS!AR:AR,A54,COMPRAS!AA:AA)+SUMIF(COMPRAS!AR:AR,A54,COMPRAS!AD:AD)</f>
        <v>0</v>
      </c>
      <c r="M54" s="440">
        <f>ABS(M48)</f>
        <v>0</v>
      </c>
      <c r="N54" s="438"/>
      <c r="O54" s="438"/>
      <c r="P54" s="438"/>
      <c r="Q54" s="438"/>
      <c r="R54" s="438"/>
      <c r="S54" s="438"/>
      <c r="T54" s="438"/>
      <c r="U54" s="443" t="s">
        <v>1220</v>
      </c>
      <c r="V54" s="445">
        <f>SUMIF(GASTOSP!D:D,V$53,GASTOSP!O:O)</f>
        <v>0</v>
      </c>
      <c r="W54" s="445">
        <f>SUMIF(GASTOSP!D:D,W$53,GASTOSP!O:O)</f>
        <v>0</v>
      </c>
      <c r="X54" s="446">
        <f t="shared" ref="X54:X59" si="20">SUM(V54:W54)</f>
        <v>0</v>
      </c>
    </row>
    <row r="55" spans="1:24" ht="13" thickTop="1" x14ac:dyDescent="0.25">
      <c r="A55" s="934" t="s">
        <v>1496</v>
      </c>
      <c r="B55" s="934"/>
      <c r="C55" s="934"/>
      <c r="D55" s="934"/>
      <c r="E55" s="934"/>
      <c r="F55" s="934"/>
      <c r="G55" s="934"/>
      <c r="H55" s="934"/>
      <c r="I55" s="934"/>
      <c r="J55" s="318"/>
      <c r="K55" s="318">
        <f>G18-K54</f>
        <v>0</v>
      </c>
      <c r="L55" s="318">
        <f>Q18+R18-L54</f>
        <v>0</v>
      </c>
      <c r="M55" s="318">
        <f>M18-M53-M54</f>
        <v>0</v>
      </c>
      <c r="N55" s="438"/>
      <c r="O55" s="438"/>
      <c r="P55" s="438"/>
      <c r="Q55" s="438"/>
      <c r="T55" s="438"/>
      <c r="U55" s="443" t="s">
        <v>1221</v>
      </c>
      <c r="V55" s="445">
        <f>SUMIF(GASTOSP!D:D,V$53,GASTOSP!P:P)</f>
        <v>0</v>
      </c>
      <c r="W55" s="445">
        <f>SUMIF(GASTOSP!D:D,W$53,GASTOSP!P:P)</f>
        <v>0</v>
      </c>
      <c r="X55" s="446">
        <f t="shared" si="20"/>
        <v>0</v>
      </c>
    </row>
    <row r="56" spans="1:24" x14ac:dyDescent="0.25">
      <c r="A56" s="934" t="s">
        <v>1248</v>
      </c>
      <c r="B56" s="934"/>
      <c r="C56" s="934"/>
      <c r="D56" s="934"/>
      <c r="E56" s="934"/>
      <c r="F56" s="934"/>
      <c r="G56" s="934"/>
      <c r="H56" s="934"/>
      <c r="I56" s="934"/>
      <c r="J56" s="318"/>
      <c r="K56" s="450">
        <v>0</v>
      </c>
      <c r="L56" s="450">
        <v>0</v>
      </c>
      <c r="M56" s="451">
        <v>0</v>
      </c>
      <c r="U56" s="443" t="s">
        <v>1222</v>
      </c>
      <c r="V56" s="445">
        <f>SUMIF(GASTOSP!D:D,V$53,GASTOSP!Q:Q)</f>
        <v>0</v>
      </c>
      <c r="W56" s="445">
        <f>SUMIF(GASTOSP!D:D,W$53,GASTOSP!Q:Q)</f>
        <v>0</v>
      </c>
      <c r="X56" s="446">
        <f t="shared" si="20"/>
        <v>0</v>
      </c>
    </row>
    <row r="57" spans="1:24" x14ac:dyDescent="0.25">
      <c r="A57" s="934" t="s">
        <v>973</v>
      </c>
      <c r="B57" s="934"/>
      <c r="C57" s="934"/>
      <c r="D57" s="934"/>
      <c r="E57" s="934"/>
      <c r="F57" s="934"/>
      <c r="G57" s="934"/>
      <c r="H57" s="934"/>
      <c r="I57" s="934"/>
      <c r="J57" s="318"/>
      <c r="K57" s="450">
        <v>0</v>
      </c>
      <c r="L57" s="450">
        <v>0</v>
      </c>
      <c r="M57" s="451">
        <v>0</v>
      </c>
      <c r="U57" s="443" t="s">
        <v>1223</v>
      </c>
      <c r="V57" s="445">
        <f>SUMIF(GASTOSP!D:D,V$53,GASTOSP!R:R)</f>
        <v>0</v>
      </c>
      <c r="W57" s="445">
        <f>SUMIF(GASTOSP!D:D,W$53,GASTOSP!R:R)</f>
        <v>0</v>
      </c>
      <c r="X57" s="446">
        <f t="shared" si="20"/>
        <v>0</v>
      </c>
    </row>
    <row r="58" spans="1:24" x14ac:dyDescent="0.25">
      <c r="A58" s="934" t="s">
        <v>1255</v>
      </c>
      <c r="B58" s="934"/>
      <c r="C58" s="934"/>
      <c r="D58" s="934"/>
      <c r="E58" s="934"/>
      <c r="F58" s="934"/>
      <c r="G58" s="934"/>
      <c r="H58" s="934"/>
      <c r="I58" s="934"/>
      <c r="J58" s="318"/>
      <c r="K58" s="450">
        <v>0</v>
      </c>
      <c r="L58" s="450">
        <v>0</v>
      </c>
      <c r="M58" s="451">
        <v>0</v>
      </c>
      <c r="R58" s="441"/>
      <c r="S58" s="441"/>
      <c r="U58" s="443" t="s">
        <v>1224</v>
      </c>
      <c r="V58" s="445">
        <f>SUMIF(GASTOSP!D:D,V$53,GASTOSP!S:S)</f>
        <v>0</v>
      </c>
      <c r="W58" s="445">
        <f>SUMIF(GASTOSP!D:D,W$53,GASTOSP!S:S)</f>
        <v>0</v>
      </c>
      <c r="X58" s="446">
        <f t="shared" si="20"/>
        <v>0</v>
      </c>
    </row>
    <row r="59" spans="1:24" ht="13.5" thickBot="1" x14ac:dyDescent="0.35">
      <c r="A59" s="952" t="s">
        <v>1505</v>
      </c>
      <c r="B59" s="952"/>
      <c r="C59" s="952"/>
      <c r="D59" s="952"/>
      <c r="E59" s="952"/>
      <c r="F59" s="952"/>
      <c r="G59" s="952"/>
      <c r="H59" s="952"/>
      <c r="I59" s="952"/>
      <c r="J59" s="440"/>
      <c r="K59" s="452">
        <v>0</v>
      </c>
      <c r="L59" s="452"/>
      <c r="M59" s="452"/>
      <c r="N59" s="441"/>
      <c r="O59" s="441"/>
      <c r="P59" s="441"/>
      <c r="Q59" s="441"/>
      <c r="R59" s="437"/>
      <c r="S59" s="437"/>
      <c r="T59" s="441"/>
      <c r="U59" s="443" t="s">
        <v>1486</v>
      </c>
      <c r="V59" s="445">
        <f>SUMIF(GASTOSP!D:D,V$53,GASTOSP!T:T)</f>
        <v>0</v>
      </c>
      <c r="W59" s="445">
        <f>SUMIF(GASTOSP!D:D,W$53,GASTOSP!T:T)</f>
        <v>0</v>
      </c>
      <c r="X59" s="446">
        <f t="shared" si="20"/>
        <v>0</v>
      </c>
    </row>
    <row r="60" spans="1:24" ht="14" thickTop="1" thickBot="1" x14ac:dyDescent="0.35">
      <c r="I60" s="442" t="s">
        <v>1989</v>
      </c>
      <c r="J60" s="437"/>
      <c r="K60" s="437">
        <f>SUM(K55:K59)</f>
        <v>0</v>
      </c>
      <c r="L60" s="437">
        <f>SUM(L55:L59)</f>
        <v>0</v>
      </c>
      <c r="M60" s="437">
        <f>SUM(M55:M59)</f>
        <v>0</v>
      </c>
      <c r="N60" s="437"/>
      <c r="O60" s="437"/>
      <c r="P60" s="437"/>
      <c r="Q60" s="437"/>
      <c r="T60" s="437"/>
      <c r="U60" s="448" t="s">
        <v>1276</v>
      </c>
      <c r="V60" s="446">
        <f>GASTOSP!O5</f>
        <v>0</v>
      </c>
      <c r="W60" s="446">
        <f>SUM(W54:W59)</f>
        <v>0</v>
      </c>
      <c r="X60" s="446">
        <f>SUM(X54:X59)</f>
        <v>0</v>
      </c>
    </row>
    <row r="61" spans="1:24" ht="13.5" thickBot="1" x14ac:dyDescent="0.35">
      <c r="I61" s="442"/>
      <c r="J61" s="442"/>
      <c r="K61" s="447">
        <f>K60-L60</f>
        <v>0</v>
      </c>
      <c r="L61" s="437"/>
    </row>
    <row r="62" spans="1:24" ht="13" x14ac:dyDescent="0.3">
      <c r="A62" s="951" t="s">
        <v>1495</v>
      </c>
      <c r="B62" s="951"/>
      <c r="C62" s="951"/>
      <c r="D62" s="951"/>
      <c r="E62" s="951"/>
      <c r="F62" s="951"/>
      <c r="G62" s="951"/>
      <c r="H62" s="951"/>
      <c r="I62" s="951"/>
      <c r="J62" s="317"/>
    </row>
    <row r="63" spans="1:24" x14ac:dyDescent="0.25">
      <c r="A63" s="950" t="s">
        <v>973</v>
      </c>
      <c r="B63" s="950"/>
      <c r="C63" s="950"/>
      <c r="D63" s="950"/>
      <c r="E63" s="950"/>
      <c r="F63" s="950"/>
      <c r="G63" s="950"/>
      <c r="H63" s="950"/>
      <c r="I63" s="950"/>
      <c r="J63" s="460"/>
      <c r="K63" s="453">
        <v>0</v>
      </c>
      <c r="L63" s="318"/>
    </row>
    <row r="64" spans="1:24" x14ac:dyDescent="0.25">
      <c r="A64" s="950" t="s">
        <v>1255</v>
      </c>
      <c r="B64" s="950"/>
      <c r="C64" s="950"/>
      <c r="D64" s="950"/>
      <c r="E64" s="950"/>
      <c r="F64" s="950"/>
      <c r="G64" s="950"/>
      <c r="H64" s="950"/>
      <c r="I64" s="950"/>
      <c r="J64" s="460"/>
      <c r="K64" s="456">
        <f>SUM(J65:J69)</f>
        <v>0</v>
      </c>
      <c r="L64" s="318"/>
    </row>
    <row r="65" spans="1:12" x14ac:dyDescent="0.25">
      <c r="B65" s="934" t="s">
        <v>1498</v>
      </c>
      <c r="C65" s="934"/>
      <c r="D65" s="934"/>
      <c r="E65" s="934"/>
      <c r="F65" s="934"/>
      <c r="G65" s="934"/>
      <c r="J65" s="454">
        <v>0</v>
      </c>
      <c r="K65" s="441"/>
      <c r="L65" s="318"/>
    </row>
    <row r="66" spans="1:12" x14ac:dyDescent="0.25">
      <c r="B66" s="934" t="s">
        <v>1499</v>
      </c>
      <c r="C66" s="934"/>
      <c r="D66" s="934"/>
      <c r="E66" s="934"/>
      <c r="F66" s="934"/>
      <c r="G66" s="934"/>
      <c r="J66" s="454">
        <v>0</v>
      </c>
      <c r="K66" s="441"/>
      <c r="L66" s="318"/>
    </row>
    <row r="67" spans="1:12" x14ac:dyDescent="0.25">
      <c r="B67" s="934" t="s">
        <v>1500</v>
      </c>
      <c r="C67" s="934"/>
      <c r="D67" s="934"/>
      <c r="E67" s="934"/>
      <c r="F67" s="934"/>
      <c r="G67" s="934"/>
      <c r="J67" s="454">
        <v>0</v>
      </c>
      <c r="K67" s="441"/>
      <c r="L67" s="318"/>
    </row>
    <row r="68" spans="1:12" x14ac:dyDescent="0.25">
      <c r="B68" s="934" t="s">
        <v>1501</v>
      </c>
      <c r="C68" s="934"/>
      <c r="D68" s="934"/>
      <c r="E68" s="934"/>
      <c r="F68" s="934"/>
      <c r="G68" s="934"/>
      <c r="J68" s="454">
        <v>0</v>
      </c>
      <c r="K68" s="441"/>
      <c r="L68" s="318"/>
    </row>
    <row r="69" spans="1:12" x14ac:dyDescent="0.25">
      <c r="B69" s="934" t="s">
        <v>1522</v>
      </c>
      <c r="C69" s="934"/>
      <c r="D69" s="934"/>
      <c r="E69" s="934"/>
      <c r="F69" s="934"/>
      <c r="G69" s="934"/>
      <c r="J69" s="454">
        <v>0</v>
      </c>
      <c r="K69" s="441"/>
      <c r="L69" s="318"/>
    </row>
    <row r="70" spans="1:12" x14ac:dyDescent="0.25">
      <c r="A70" s="950" t="s">
        <v>1497</v>
      </c>
      <c r="B70" s="950"/>
      <c r="C70" s="950"/>
      <c r="D70" s="950"/>
      <c r="E70" s="950"/>
      <c r="F70" s="950"/>
      <c r="G70" s="950"/>
      <c r="H70" s="950"/>
      <c r="I70" s="950"/>
      <c r="J70" s="460"/>
      <c r="K70" s="456">
        <f>SUM(J71:J73)</f>
        <v>0</v>
      </c>
      <c r="L70" s="318"/>
    </row>
    <row r="71" spans="1:12" x14ac:dyDescent="0.25">
      <c r="B71" s="263" t="s">
        <v>1506</v>
      </c>
      <c r="J71" s="454">
        <v>0</v>
      </c>
      <c r="K71" s="441"/>
      <c r="L71" s="318"/>
    </row>
    <row r="72" spans="1:12" x14ac:dyDescent="0.25">
      <c r="B72" s="263" t="s">
        <v>1523</v>
      </c>
      <c r="J72" s="454">
        <v>0</v>
      </c>
      <c r="K72" s="441"/>
      <c r="L72" s="318"/>
    </row>
    <row r="73" spans="1:12" ht="13" thickBot="1" x14ac:dyDescent="0.3">
      <c r="B73" s="263" t="s">
        <v>1524</v>
      </c>
      <c r="J73" s="455"/>
      <c r="K73" s="440"/>
      <c r="L73" s="440"/>
    </row>
    <row r="74" spans="1:12" ht="13.5" thickTop="1" x14ac:dyDescent="0.3">
      <c r="J74" s="442" t="s">
        <v>1502</v>
      </c>
      <c r="K74" s="437">
        <f>SUM(K63:K73)</f>
        <v>0</v>
      </c>
      <c r="L74" s="437">
        <f>SUM(L63:L73)</f>
        <v>0</v>
      </c>
    </row>
    <row r="367" spans="44:46" x14ac:dyDescent="0.25">
      <c r="AR367" s="318"/>
      <c r="AS367" s="318"/>
      <c r="AT367" s="318"/>
    </row>
    <row r="368" spans="44:46" x14ac:dyDescent="0.25">
      <c r="AR368" s="318"/>
      <c r="AS368" s="318"/>
      <c r="AT368" s="318"/>
    </row>
    <row r="369" spans="44:46" x14ac:dyDescent="0.25">
      <c r="AR369" s="318"/>
      <c r="AS369" s="318"/>
      <c r="AT369" s="318"/>
    </row>
    <row r="370" spans="44:46" x14ac:dyDescent="0.25">
      <c r="AR370" s="318"/>
      <c r="AS370" s="318"/>
      <c r="AT370" s="318"/>
    </row>
    <row r="371" spans="44:46" x14ac:dyDescent="0.25">
      <c r="AR371" s="318"/>
      <c r="AS371" s="318"/>
      <c r="AT371" s="318"/>
    </row>
    <row r="372" spans="44:46" x14ac:dyDescent="0.25">
      <c r="AR372" s="318"/>
      <c r="AS372" s="318"/>
      <c r="AT372" s="318"/>
    </row>
    <row r="373" spans="44:46" x14ac:dyDescent="0.25">
      <c r="AR373" s="318"/>
      <c r="AS373" s="318"/>
      <c r="AT373" s="318"/>
    </row>
    <row r="374" spans="44:46" x14ac:dyDescent="0.25">
      <c r="AR374" s="318"/>
      <c r="AS374" s="318"/>
      <c r="AT374" s="318"/>
    </row>
    <row r="375" spans="44:46" x14ac:dyDescent="0.25">
      <c r="AR375" s="318"/>
      <c r="AS375" s="318"/>
      <c r="AT375" s="318"/>
    </row>
    <row r="376" spans="44:46" x14ac:dyDescent="0.25">
      <c r="AR376" s="318"/>
      <c r="AS376" s="318"/>
      <c r="AT376" s="318"/>
    </row>
    <row r="377" spans="44:46" x14ac:dyDescent="0.25">
      <c r="AR377" s="318"/>
      <c r="AS377" s="318"/>
      <c r="AT377" s="318"/>
    </row>
    <row r="378" spans="44:46" x14ac:dyDescent="0.25">
      <c r="AR378" s="318"/>
      <c r="AS378" s="318"/>
      <c r="AT378" s="318"/>
    </row>
    <row r="379" spans="44:46" x14ac:dyDescent="0.25">
      <c r="AR379" s="318"/>
      <c r="AS379" s="318"/>
      <c r="AT379" s="318"/>
    </row>
    <row r="380" spans="44:46" x14ac:dyDescent="0.25">
      <c r="AR380" s="318"/>
      <c r="AS380" s="318"/>
      <c r="AT380" s="318"/>
    </row>
    <row r="381" spans="44:46" x14ac:dyDescent="0.25">
      <c r="AR381" s="318"/>
      <c r="AS381" s="318"/>
      <c r="AT381" s="318"/>
    </row>
    <row r="382" spans="44:46" x14ac:dyDescent="0.25">
      <c r="AR382" s="318"/>
      <c r="AS382" s="318"/>
      <c r="AT382" s="318"/>
    </row>
    <row r="383" spans="44:46" x14ac:dyDescent="0.25">
      <c r="AR383" s="318"/>
      <c r="AS383" s="318"/>
      <c r="AT383" s="318"/>
    </row>
    <row r="384" spans="44:46" x14ac:dyDescent="0.25">
      <c r="AR384" s="318"/>
      <c r="AS384" s="318"/>
      <c r="AT384" s="318"/>
    </row>
    <row r="385" spans="44:46" x14ac:dyDescent="0.25">
      <c r="AR385" s="318"/>
      <c r="AS385" s="318"/>
      <c r="AT385" s="318"/>
    </row>
    <row r="386" spans="44:46" x14ac:dyDescent="0.25">
      <c r="AR386" s="318"/>
      <c r="AS386" s="318"/>
      <c r="AT386" s="318"/>
    </row>
    <row r="387" spans="44:46" x14ac:dyDescent="0.25">
      <c r="AR387" s="318"/>
      <c r="AS387" s="318"/>
      <c r="AT387" s="318"/>
    </row>
    <row r="388" spans="44:46" x14ac:dyDescent="0.25">
      <c r="AR388" s="318"/>
      <c r="AS388" s="318"/>
      <c r="AT388" s="318"/>
    </row>
    <row r="389" spans="44:46" x14ac:dyDescent="0.25">
      <c r="AR389" s="318"/>
      <c r="AS389" s="318"/>
      <c r="AT389" s="318"/>
    </row>
    <row r="390" spans="44:46" x14ac:dyDescent="0.25">
      <c r="AR390" s="318"/>
      <c r="AS390" s="318"/>
      <c r="AT390" s="318"/>
    </row>
    <row r="391" spans="44:46" x14ac:dyDescent="0.25">
      <c r="AR391" s="318"/>
      <c r="AS391" s="318"/>
      <c r="AT391" s="318"/>
    </row>
    <row r="392" spans="44:46" x14ac:dyDescent="0.25">
      <c r="AR392" s="318"/>
      <c r="AS392" s="318"/>
      <c r="AT392" s="318"/>
    </row>
    <row r="393" spans="44:46" x14ac:dyDescent="0.25">
      <c r="AR393" s="318"/>
      <c r="AS393" s="318"/>
      <c r="AT393" s="318"/>
    </row>
    <row r="394" spans="44:46" x14ac:dyDescent="0.25">
      <c r="AR394" s="318"/>
      <c r="AS394" s="318"/>
      <c r="AT394" s="318"/>
    </row>
    <row r="395" spans="44:46" x14ac:dyDescent="0.25">
      <c r="AR395" s="318"/>
      <c r="AS395" s="318"/>
      <c r="AT395" s="318"/>
    </row>
    <row r="396" spans="44:46" x14ac:dyDescent="0.25">
      <c r="AR396" s="318"/>
      <c r="AS396" s="318"/>
      <c r="AT396" s="318"/>
    </row>
    <row r="397" spans="44:46" x14ac:dyDescent="0.25">
      <c r="AR397" s="318"/>
      <c r="AS397" s="318"/>
      <c r="AT397" s="318"/>
    </row>
    <row r="398" spans="44:46" x14ac:dyDescent="0.25">
      <c r="AR398" s="318"/>
      <c r="AS398" s="318"/>
      <c r="AT398" s="318"/>
    </row>
    <row r="399" spans="44:46" x14ac:dyDescent="0.25">
      <c r="AR399" s="318"/>
      <c r="AS399" s="318"/>
      <c r="AT399" s="318"/>
    </row>
    <row r="400" spans="44:46" x14ac:dyDescent="0.25">
      <c r="AR400" s="318"/>
      <c r="AS400" s="318"/>
      <c r="AT400" s="318"/>
    </row>
    <row r="401" spans="44:46" x14ac:dyDescent="0.25">
      <c r="AR401" s="318"/>
      <c r="AS401" s="318"/>
      <c r="AT401" s="318"/>
    </row>
    <row r="402" spans="44:46" x14ac:dyDescent="0.25">
      <c r="AR402" s="318"/>
      <c r="AS402" s="318"/>
      <c r="AT402" s="318"/>
    </row>
    <row r="403" spans="44:46" x14ac:dyDescent="0.25">
      <c r="AR403" s="318"/>
      <c r="AS403" s="318"/>
      <c r="AT403" s="318"/>
    </row>
    <row r="404" spans="44:46" x14ac:dyDescent="0.25">
      <c r="AR404" s="318"/>
      <c r="AS404" s="318"/>
      <c r="AT404" s="318"/>
    </row>
    <row r="405" spans="44:46" x14ac:dyDescent="0.25">
      <c r="AR405" s="318"/>
      <c r="AS405" s="318"/>
      <c r="AT405" s="318"/>
    </row>
    <row r="406" spans="44:46" x14ac:dyDescent="0.25">
      <c r="AR406" s="318"/>
      <c r="AS406" s="318"/>
      <c r="AT406" s="318"/>
    </row>
    <row r="407" spans="44:46" x14ac:dyDescent="0.25">
      <c r="AR407" s="318"/>
      <c r="AS407" s="318"/>
      <c r="AT407" s="318"/>
    </row>
    <row r="408" spans="44:46" x14ac:dyDescent="0.25">
      <c r="AR408" s="318"/>
      <c r="AS408" s="318"/>
      <c r="AT408" s="318"/>
    </row>
    <row r="409" spans="44:46" x14ac:dyDescent="0.25">
      <c r="AR409" s="318"/>
      <c r="AS409" s="318"/>
      <c r="AT409" s="318"/>
    </row>
    <row r="410" spans="44:46" x14ac:dyDescent="0.25">
      <c r="AR410" s="318"/>
      <c r="AS410" s="318"/>
      <c r="AT410" s="318"/>
    </row>
    <row r="411" spans="44:46" x14ac:dyDescent="0.25">
      <c r="AR411" s="318"/>
      <c r="AS411" s="318"/>
      <c r="AT411" s="318"/>
    </row>
    <row r="412" spans="44:46" x14ac:dyDescent="0.25">
      <c r="AR412" s="318"/>
      <c r="AS412" s="318"/>
      <c r="AT412" s="318"/>
    </row>
    <row r="413" spans="44:46" x14ac:dyDescent="0.25">
      <c r="AR413" s="318"/>
      <c r="AS413" s="318"/>
      <c r="AT413" s="318"/>
    </row>
    <row r="414" spans="44:46" x14ac:dyDescent="0.25">
      <c r="AR414" s="318"/>
      <c r="AS414" s="318"/>
      <c r="AT414" s="318"/>
    </row>
  </sheetData>
  <mergeCells count="48">
    <mergeCell ref="A70:I70"/>
    <mergeCell ref="A62:I62"/>
    <mergeCell ref="A54:I54"/>
    <mergeCell ref="A55:I55"/>
    <mergeCell ref="A56:I56"/>
    <mergeCell ref="A57:I57"/>
    <mergeCell ref="A58:I58"/>
    <mergeCell ref="A59:I59"/>
    <mergeCell ref="B68:G68"/>
    <mergeCell ref="B65:G65"/>
    <mergeCell ref="B66:G66"/>
    <mergeCell ref="B67:G67"/>
    <mergeCell ref="B69:G69"/>
    <mergeCell ref="A63:I63"/>
    <mergeCell ref="A64:I64"/>
    <mergeCell ref="AG2:AG3"/>
    <mergeCell ref="X2:X3"/>
    <mergeCell ref="E2:K2"/>
    <mergeCell ref="L2:L3"/>
    <mergeCell ref="M2:M3"/>
    <mergeCell ref="O2:V2"/>
    <mergeCell ref="W2:W3"/>
    <mergeCell ref="AA2:AA3"/>
    <mergeCell ref="AB2:AB3"/>
    <mergeCell ref="AC2:AC3"/>
    <mergeCell ref="AD2:AD3"/>
    <mergeCell ref="AE2:AF2"/>
    <mergeCell ref="Y2:Y3"/>
    <mergeCell ref="AO1:AP1"/>
    <mergeCell ref="AH2:AI2"/>
    <mergeCell ref="AK2:AK3"/>
    <mergeCell ref="AL2:AL3"/>
    <mergeCell ref="AM2:AM3"/>
    <mergeCell ref="AO2:AQ2"/>
    <mergeCell ref="B21:G21"/>
    <mergeCell ref="B45:G45"/>
    <mergeCell ref="A53:I53"/>
    <mergeCell ref="B39:G39"/>
    <mergeCell ref="B40:G40"/>
    <mergeCell ref="B41:G41"/>
    <mergeCell ref="B43:G43"/>
    <mergeCell ref="B44:G44"/>
    <mergeCell ref="B29:G29"/>
    <mergeCell ref="B30:G30"/>
    <mergeCell ref="B24:G24"/>
    <mergeCell ref="B25:G25"/>
    <mergeCell ref="B26:G26"/>
    <mergeCell ref="B28:G28"/>
  </mergeCells>
  <conditionalFormatting sqref="C53:I53">
    <cfRule type="cellIs" dxfId="16" priority="6" stopIfTrue="1" operator="lessThan">
      <formula>0</formula>
    </cfRule>
  </conditionalFormatting>
  <conditionalFormatting sqref="D5:Y19 C18:C20 D20:F20 H20:Y21 B21">
    <cfRule type="cellIs" dxfId="15" priority="11" stopIfTrue="1" operator="lessThan">
      <formula>0</formula>
    </cfRule>
  </conditionalFormatting>
  <conditionalFormatting sqref="I60">
    <cfRule type="cellIs" dxfId="14" priority="1" stopIfTrue="1" operator="lessThan">
      <formula>0</formula>
    </cfRule>
  </conditionalFormatting>
  <conditionalFormatting sqref="K52:M54">
    <cfRule type="cellIs" dxfId="13" priority="2" stopIfTrue="1" operator="lessThan">
      <formula>0</formula>
    </cfRule>
  </conditionalFormatting>
  <conditionalFormatting sqref="Z19:Z21 AB19:AB21">
    <cfRule type="cellIs" dxfId="12" priority="18" stopIfTrue="1" operator="lessThan">
      <formula>0</formula>
    </cfRule>
  </conditionalFormatting>
  <conditionalFormatting sqref="Z5:AQ18">
    <cfRule type="cellIs" dxfId="11" priority="7" stopIfTrue="1" operator="lessThan">
      <formula>0</formula>
    </cfRule>
  </conditionalFormatting>
  <dataValidations count="6">
    <dataValidation type="list" allowBlank="1" showInputMessage="1" showErrorMessage="1" sqref="C5:C16" xr:uid="{FE28F357-654C-4A67-BD17-53A7B772F82F}">
      <formula1>"1,2,3,4,5,6,7,8,9,10,11,12,I-Semestre,II-Semestre"</formula1>
    </dataValidation>
    <dataValidation type="list" allowBlank="1" showInputMessage="1" showErrorMessage="1" sqref="B39:H45 B24:H30" xr:uid="{80921E02-0D97-458C-8C13-84D606961B66}">
      <formula1>ComprobantesVEN</formula1>
    </dataValidation>
    <dataValidation type="list" allowBlank="1" showInputMessage="1" showErrorMessage="1" sqref="V53:W53" xr:uid="{3BA2E67B-C962-4800-9939-B0AB49BA9A2E}">
      <formula1>"F-Fisico,E-Electronico"</formula1>
    </dataValidation>
    <dataValidation type="list" allowBlank="1" showInputMessage="1" showErrorMessage="1" sqref="U54:U59" xr:uid="{0F9E219A-7CF4-4607-9C80-D04B8FBBA9D6}">
      <formula1>"6-TURISMO,5-ALIMENTACION,4-EDUCACION,3-SALUD,2-VESTIMENTA,1-VIVIENDA"</formula1>
    </dataValidation>
    <dataValidation type="list" operator="lessThanOrEqual" allowBlank="1" showInputMessage="1" showErrorMessage="1" errorTitle="FactelExcel" error="Debe ingresar un valor correcto para la Direccion Matriz" sqref="B21" xr:uid="{2DC77498-4212-4E32-8DAC-AB09B9FD59A0}">
      <formula1>"GENERAL,RIMPE EMPRENDEDOR,RIMPE NEGOCIO POPULAR,MICROEMPRESA"</formula1>
    </dataValidation>
    <dataValidation type="list" allowBlank="1" showInputMessage="1" showErrorMessage="1" errorTitle="SRI Anexos" error="Debe ingresar un valor correcto para esta celda" sqref="B21" xr:uid="{F2CA48B2-9C17-45E7-961F-492835642305}">
      <formula1>"GENERAL,RIMPE EMPRENDEDOR,RIMPE NEGOCIO POPULAR,MICROEMPRESA"</formula1>
    </dataValidation>
  </dataValidations>
  <pageMargins left="0.19685039370078741" right="0.19685039370078741" top="0.62992125984251968" bottom="0.98425196850393704" header="0" footer="0"/>
  <pageSetup paperSize="9" scale="41" orientation="landscape"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Hoja6">
    <pageSetUpPr fitToPage="1"/>
  </sheetPr>
  <dimension ref="A1:AO354"/>
  <sheetViews>
    <sheetView showGridLines="0" zoomScale="72" zoomScaleNormal="72" workbookViewId="0"/>
  </sheetViews>
  <sheetFormatPr baseColWidth="10" defaultColWidth="4.7265625" defaultRowHeight="21" customHeight="1" outlineLevelRow="2" x14ac:dyDescent="0.35"/>
  <cols>
    <col min="1" max="1" width="6" style="3" customWidth="1"/>
    <col min="2" max="6" width="4.7265625" style="3" customWidth="1"/>
    <col min="7" max="7" width="5.453125" style="3" customWidth="1"/>
    <col min="8" max="9" width="4.7265625" style="3" customWidth="1"/>
    <col min="10" max="10" width="6.453125" style="3" customWidth="1"/>
    <col min="11" max="11" width="6" style="3" customWidth="1"/>
    <col min="12" max="14" width="4.7265625" style="3" customWidth="1"/>
    <col min="15" max="16" width="5.26953125" style="3" customWidth="1"/>
    <col min="17" max="17" width="7" style="3" customWidth="1"/>
    <col min="18" max="18" width="4.7265625" style="3" customWidth="1"/>
    <col min="19" max="20" width="6.81640625" style="3" customWidth="1"/>
    <col min="21" max="21" width="6.81640625" style="20" customWidth="1"/>
    <col min="22" max="22" width="6.81640625" style="3" customWidth="1"/>
    <col min="23" max="24" width="4.7265625" style="3" customWidth="1"/>
    <col min="25" max="25" width="6" style="3" customWidth="1"/>
    <col min="26" max="26" width="4.7265625" style="3" customWidth="1"/>
    <col min="27" max="28" width="5.453125" style="3" customWidth="1"/>
    <col min="29" max="29" width="7.26953125" style="3" customWidth="1"/>
    <col min="30" max="30" width="6.7265625" style="3" customWidth="1"/>
    <col min="31" max="34" width="4.7265625" style="3" customWidth="1"/>
    <col min="35" max="35" width="5.54296875" style="3" customWidth="1"/>
    <col min="36" max="36" width="0.81640625" style="3" customWidth="1"/>
    <col min="37" max="37" width="9.1796875" style="3" bestFit="1" customWidth="1"/>
    <col min="38" max="16384" width="4.7265625" style="3"/>
  </cols>
  <sheetData>
    <row r="1" spans="1:35" s="176" customFormat="1" ht="21" customHeight="1" x14ac:dyDescent="0.35">
      <c r="A1" s="193"/>
      <c r="B1" s="192"/>
      <c r="C1" s="192" t="s">
        <v>750</v>
      </c>
      <c r="D1" s="191" t="s">
        <v>994</v>
      </c>
      <c r="E1" s="190"/>
      <c r="F1" s="189"/>
      <c r="G1" s="188"/>
      <c r="H1" s="187"/>
      <c r="I1" s="1047" t="s">
        <v>993</v>
      </c>
      <c r="J1" s="1048"/>
      <c r="K1" s="1048"/>
      <c r="L1" s="1048"/>
      <c r="M1" s="1048"/>
      <c r="N1" s="1048"/>
      <c r="O1" s="1048"/>
      <c r="P1" s="1048"/>
      <c r="Q1" s="1048"/>
      <c r="R1" s="1048"/>
      <c r="S1" s="1048"/>
      <c r="T1" s="1048"/>
      <c r="U1" s="1048"/>
      <c r="V1" s="1048"/>
      <c r="W1" s="1048"/>
      <c r="X1" s="1048"/>
      <c r="Y1" s="1048"/>
      <c r="Z1" s="1048"/>
      <c r="AA1" s="1048"/>
      <c r="AB1" s="1048"/>
      <c r="AC1" s="1049"/>
      <c r="AD1" s="1043" t="s">
        <v>928</v>
      </c>
      <c r="AE1" s="1044"/>
      <c r="AF1" s="186"/>
      <c r="AG1" s="185"/>
      <c r="AH1" s="185"/>
      <c r="AI1" s="184"/>
    </row>
    <row r="2" spans="1:35" s="176" customFormat="1" ht="25.5" customHeight="1" thickBot="1" x14ac:dyDescent="0.4">
      <c r="A2" s="183"/>
      <c r="B2" s="182"/>
      <c r="C2" s="182" t="s">
        <v>750</v>
      </c>
      <c r="D2" s="182" t="s">
        <v>927</v>
      </c>
      <c r="E2" s="181"/>
      <c r="F2" s="181"/>
      <c r="G2" s="181"/>
      <c r="H2" s="180"/>
      <c r="I2" s="1050"/>
      <c r="J2" s="1051"/>
      <c r="K2" s="1051"/>
      <c r="L2" s="1051"/>
      <c r="M2" s="1051"/>
      <c r="N2" s="1051"/>
      <c r="O2" s="1051"/>
      <c r="P2" s="1051"/>
      <c r="Q2" s="1051"/>
      <c r="R2" s="1051"/>
      <c r="S2" s="1051"/>
      <c r="T2" s="1051"/>
      <c r="U2" s="1051"/>
      <c r="V2" s="1051"/>
      <c r="W2" s="1051"/>
      <c r="X2" s="1051"/>
      <c r="Y2" s="1051"/>
      <c r="Z2" s="1051"/>
      <c r="AA2" s="1051"/>
      <c r="AB2" s="1051"/>
      <c r="AC2" s="1052"/>
      <c r="AD2" s="1045"/>
      <c r="AE2" s="1046"/>
      <c r="AF2" s="179"/>
      <c r="AG2" s="178"/>
      <c r="AH2" s="178"/>
      <c r="AI2" s="177"/>
    </row>
    <row r="3" spans="1:35" ht="3.65" customHeight="1" x14ac:dyDescent="0.35">
      <c r="A3" s="262"/>
      <c r="B3" s="165"/>
      <c r="C3" s="165"/>
      <c r="D3" s="165"/>
      <c r="E3" s="165"/>
      <c r="F3" s="261"/>
      <c r="G3" s="260"/>
      <c r="H3" s="259"/>
      <c r="I3" s="259"/>
      <c r="J3" s="259"/>
      <c r="L3" s="259"/>
      <c r="M3" s="24"/>
      <c r="N3" s="24"/>
      <c r="O3" s="24"/>
      <c r="P3" s="24"/>
      <c r="Q3" s="24"/>
      <c r="R3" s="24"/>
      <c r="S3" s="24"/>
      <c r="T3" s="24"/>
      <c r="U3" s="24"/>
      <c r="V3" s="24"/>
      <c r="W3" s="24"/>
      <c r="X3" s="24"/>
      <c r="Y3" s="24"/>
      <c r="Z3" s="24"/>
      <c r="AA3" s="24"/>
      <c r="AB3" s="24"/>
      <c r="AC3" s="24"/>
      <c r="AD3" s="24"/>
      <c r="AE3" s="24"/>
      <c r="AF3" s="24"/>
      <c r="AG3" s="24"/>
      <c r="AH3" s="24"/>
      <c r="AI3" s="169"/>
    </row>
    <row r="4" spans="1:35" s="168" customFormat="1" ht="21" customHeight="1" x14ac:dyDescent="0.35">
      <c r="A4" s="258" t="s">
        <v>992</v>
      </c>
      <c r="B4" s="174"/>
      <c r="C4" s="174"/>
      <c r="D4" s="174"/>
      <c r="E4" s="174"/>
      <c r="F4" s="174"/>
      <c r="G4" s="173"/>
      <c r="H4" s="172"/>
      <c r="I4" s="172"/>
      <c r="J4" s="172"/>
      <c r="K4" s="171" t="s">
        <v>925</v>
      </c>
      <c r="L4" s="172"/>
      <c r="M4" s="170"/>
      <c r="N4" s="170"/>
      <c r="O4" s="170"/>
      <c r="P4" s="170"/>
      <c r="Q4" s="170"/>
      <c r="R4" s="170"/>
      <c r="S4" s="170"/>
      <c r="T4" s="170"/>
      <c r="U4" s="170"/>
      <c r="V4" s="170"/>
      <c r="W4" s="170"/>
      <c r="X4" s="170"/>
      <c r="AH4" s="170"/>
      <c r="AI4" s="169"/>
    </row>
    <row r="5" spans="1:35" s="168" customFormat="1" ht="21" customHeight="1" x14ac:dyDescent="0.35">
      <c r="A5" s="258"/>
      <c r="B5" s="174"/>
      <c r="C5" s="279">
        <f>IF(C6,C7,0)</f>
        <v>1</v>
      </c>
      <c r="D5" s="279">
        <f t="shared" ref="D5:N5" si="0">IF(D6,D7,0)</f>
        <v>0</v>
      </c>
      <c r="E5" s="279">
        <f t="shared" si="0"/>
        <v>0</v>
      </c>
      <c r="F5" s="279">
        <f t="shared" si="0"/>
        <v>0</v>
      </c>
      <c r="G5" s="279">
        <f t="shared" si="0"/>
        <v>0</v>
      </c>
      <c r="H5" s="279">
        <f t="shared" si="0"/>
        <v>0</v>
      </c>
      <c r="I5" s="279">
        <f t="shared" si="0"/>
        <v>0</v>
      </c>
      <c r="J5" s="279">
        <f t="shared" si="0"/>
        <v>0</v>
      </c>
      <c r="K5" s="279">
        <f t="shared" si="0"/>
        <v>0</v>
      </c>
      <c r="L5" s="279">
        <f t="shared" si="0"/>
        <v>0</v>
      </c>
      <c r="M5" s="279">
        <f t="shared" si="0"/>
        <v>0</v>
      </c>
      <c r="N5" s="279">
        <f t="shared" si="0"/>
        <v>0</v>
      </c>
      <c r="O5" s="170"/>
      <c r="P5" s="170"/>
      <c r="Q5" s="963" t="s">
        <v>1189</v>
      </c>
      <c r="R5" s="963"/>
      <c r="S5" s="963"/>
      <c r="T5" s="963"/>
      <c r="U5" s="964">
        <v>1</v>
      </c>
      <c r="V5" s="965"/>
      <c r="W5" s="457" t="s">
        <v>1481</v>
      </c>
      <c r="X5" s="458"/>
      <c r="Y5" s="459"/>
      <c r="Z5" s="459"/>
      <c r="AA5" s="459"/>
      <c r="AB5" s="459"/>
      <c r="AC5" s="459"/>
      <c r="AH5" s="170"/>
      <c r="AI5" s="169"/>
    </row>
    <row r="6" spans="1:35" ht="3.65" customHeight="1" x14ac:dyDescent="0.35">
      <c r="A6" s="262"/>
      <c r="B6" s="165"/>
      <c r="C6" s="279" t="b">
        <f>IF($U$5=LIQ_IMPUESTOS!$C5,TRUE,FALSE)</f>
        <v>1</v>
      </c>
      <c r="D6" s="279" t="b">
        <f>IF($U$5=LIQ_IMPUESTOS!$C6,TRUE,FALSE)</f>
        <v>0</v>
      </c>
      <c r="E6" s="279" t="b">
        <f>IF($U$5=LIQ_IMPUESTOS!$C7,TRUE,FALSE)</f>
        <v>0</v>
      </c>
      <c r="F6" s="279" t="b">
        <f>IF($U$5=LIQ_IMPUESTOS!$C8,TRUE,FALSE)</f>
        <v>0</v>
      </c>
      <c r="G6" s="279" t="b">
        <f>IF($U$5=LIQ_IMPUESTOS!$C9,TRUE,FALSE)</f>
        <v>0</v>
      </c>
      <c r="H6" s="279" t="b">
        <f>IF($U$5=LIQ_IMPUESTOS!$C10,TRUE,FALSE)</f>
        <v>0</v>
      </c>
      <c r="I6" s="279" t="b">
        <f>IF($U$5=LIQ_IMPUESTOS!$C11,TRUE,FALSE)</f>
        <v>0</v>
      </c>
      <c r="J6" s="279" t="b">
        <f>IF($U$5=LIQ_IMPUESTOS!$C12,TRUE,FALSE)</f>
        <v>0</v>
      </c>
      <c r="K6" s="279" t="b">
        <f>IF($U$5=LIQ_IMPUESTOS!$C13,TRUE,FALSE)</f>
        <v>0</v>
      </c>
      <c r="L6" s="279" t="b">
        <f>IF($U$5=LIQ_IMPUESTOS!$C14,TRUE,FALSE)</f>
        <v>0</v>
      </c>
      <c r="M6" s="279" t="b">
        <f>IF($U$5=LIQ_IMPUESTOS!$C15,TRUE,FALSE)</f>
        <v>0</v>
      </c>
      <c r="N6" s="279" t="b">
        <f>IF($U$5=LIQ_IMPUESTOS!$C16,TRUE,FALSE)</f>
        <v>0</v>
      </c>
      <c r="O6" s="24"/>
      <c r="P6" s="24"/>
      <c r="Q6" s="24"/>
      <c r="R6" s="24"/>
      <c r="S6" s="24"/>
      <c r="T6" s="24"/>
      <c r="U6" s="24"/>
      <c r="V6" s="24"/>
      <c r="W6" s="24"/>
      <c r="X6" s="24"/>
      <c r="Y6" s="24"/>
      <c r="Z6" s="24"/>
      <c r="AA6" s="24"/>
      <c r="AB6" s="24"/>
      <c r="AC6" s="24"/>
      <c r="AD6" s="24"/>
      <c r="AE6" s="24"/>
      <c r="AF6" s="24"/>
      <c r="AG6" s="24"/>
      <c r="AH6" s="24"/>
      <c r="AI6" s="169"/>
    </row>
    <row r="7" spans="1:35" s="168" customFormat="1" ht="12" customHeight="1" x14ac:dyDescent="0.35">
      <c r="A7" s="1028">
        <v>101</v>
      </c>
      <c r="B7" s="1033" t="s">
        <v>924</v>
      </c>
      <c r="C7" s="1037">
        <v>1</v>
      </c>
      <c r="D7" s="1037">
        <v>2</v>
      </c>
      <c r="E7" s="1037">
        <v>3</v>
      </c>
      <c r="F7" s="1037">
        <v>4</v>
      </c>
      <c r="G7" s="1037">
        <v>5</v>
      </c>
      <c r="H7" s="1037">
        <v>6</v>
      </c>
      <c r="I7" s="1037">
        <v>7</v>
      </c>
      <c r="J7" s="1037">
        <v>8</v>
      </c>
      <c r="K7" s="1037">
        <v>9</v>
      </c>
      <c r="L7" s="1037">
        <v>10</v>
      </c>
      <c r="M7" s="1037">
        <v>11</v>
      </c>
      <c r="N7" s="1037">
        <v>12</v>
      </c>
      <c r="O7" s="170"/>
      <c r="P7" s="170"/>
      <c r="Q7" s="1038">
        <v>102</v>
      </c>
      <c r="R7" s="1033" t="s">
        <v>923</v>
      </c>
      <c r="S7" s="1031" t="str">
        <f>MID(XLSperiodo,1,1)</f>
        <v>2</v>
      </c>
      <c r="T7" s="1031" t="str">
        <f>MID(XLSperiodo,2,1)</f>
        <v>0</v>
      </c>
      <c r="U7" s="1031" t="str">
        <f>MID(XLSperiodo,3,1)</f>
        <v>2</v>
      </c>
      <c r="V7" s="1031" t="str">
        <f>MID(XLSperiodo,4,1)</f>
        <v>6</v>
      </c>
      <c r="Y7" s="257">
        <v>104</v>
      </c>
      <c r="Z7" s="256" t="s">
        <v>922</v>
      </c>
      <c r="AA7" s="256"/>
      <c r="AB7" s="256"/>
      <c r="AC7" s="256"/>
      <c r="AD7" s="256"/>
      <c r="AE7" s="256"/>
      <c r="AF7" s="255"/>
      <c r="AG7" s="254"/>
      <c r="AI7" s="169"/>
    </row>
    <row r="8" spans="1:35" s="168" customFormat="1" ht="20.25" customHeight="1" x14ac:dyDescent="0.35">
      <c r="A8" s="1028"/>
      <c r="B8" s="1033"/>
      <c r="C8" s="1037"/>
      <c r="D8" s="1037"/>
      <c r="E8" s="1037"/>
      <c r="F8" s="1037"/>
      <c r="G8" s="1037"/>
      <c r="H8" s="1037"/>
      <c r="I8" s="1037"/>
      <c r="J8" s="1037"/>
      <c r="K8" s="1037"/>
      <c r="L8" s="1037"/>
      <c r="M8" s="1037"/>
      <c r="N8" s="1037"/>
      <c r="O8" s="170"/>
      <c r="P8" s="170"/>
      <c r="Q8" s="1038"/>
      <c r="R8" s="1033"/>
      <c r="S8" s="1032"/>
      <c r="T8" s="1032"/>
      <c r="U8" s="1032"/>
      <c r="V8" s="1032"/>
      <c r="W8" s="252"/>
      <c r="X8" s="252"/>
      <c r="Y8" s="1034"/>
      <c r="Z8" s="1035"/>
      <c r="AA8" s="1035"/>
      <c r="AB8" s="1035"/>
      <c r="AC8" s="1035"/>
      <c r="AD8" s="1035"/>
      <c r="AE8" s="1035"/>
      <c r="AF8" s="1035"/>
      <c r="AG8" s="1036"/>
      <c r="AI8" s="169"/>
    </row>
    <row r="9" spans="1:35" s="168" customFormat="1" ht="11.5" x14ac:dyDescent="0.35">
      <c r="A9" s="253"/>
      <c r="B9" s="174"/>
      <c r="C9" s="174"/>
      <c r="D9" s="174"/>
      <c r="E9" s="174"/>
      <c r="F9" s="174"/>
      <c r="G9" s="174"/>
      <c r="H9" s="174"/>
      <c r="I9" s="174"/>
      <c r="J9" s="174"/>
      <c r="K9" s="174"/>
      <c r="L9" s="174"/>
      <c r="M9" s="174"/>
      <c r="N9" s="174"/>
      <c r="O9" s="170"/>
      <c r="P9" s="170"/>
      <c r="Q9" s="170"/>
      <c r="R9" s="170"/>
      <c r="S9" s="174"/>
      <c r="T9" s="174"/>
      <c r="U9" s="174"/>
      <c r="V9" s="174"/>
      <c r="W9" s="252"/>
      <c r="X9" s="252"/>
      <c r="Y9" s="174"/>
      <c r="AA9" s="174"/>
      <c r="AB9" s="174"/>
      <c r="AC9" s="174"/>
      <c r="AD9" s="174"/>
      <c r="AE9" s="174"/>
      <c r="AI9" s="169"/>
    </row>
    <row r="10" spans="1:35" ht="11.5" x14ac:dyDescent="0.35">
      <c r="A10" s="167" t="s">
        <v>991</v>
      </c>
      <c r="B10" s="166"/>
      <c r="C10" s="166"/>
      <c r="D10" s="166"/>
      <c r="E10" s="166"/>
      <c r="F10" s="166"/>
      <c r="G10" s="166"/>
      <c r="H10" s="166"/>
      <c r="I10" s="166"/>
      <c r="J10" s="166"/>
      <c r="K10" s="166"/>
      <c r="L10" s="166"/>
      <c r="M10" s="166"/>
      <c r="N10" s="166"/>
      <c r="O10" s="166"/>
      <c r="P10" s="166"/>
      <c r="Q10" s="166"/>
      <c r="R10" s="166"/>
      <c r="S10" s="166"/>
      <c r="T10" s="166"/>
      <c r="U10" s="251"/>
      <c r="V10" s="166"/>
      <c r="W10" s="166"/>
      <c r="X10" s="166"/>
      <c r="Y10" s="166"/>
      <c r="Z10" s="166"/>
      <c r="AA10" s="166"/>
      <c r="AB10" s="166"/>
      <c r="AC10" s="165"/>
      <c r="AD10" s="165"/>
      <c r="AE10" s="165"/>
      <c r="AF10" s="165"/>
      <c r="AG10" s="165"/>
      <c r="AH10" s="165"/>
      <c r="AI10" s="169"/>
    </row>
    <row r="11" spans="1:35" ht="11.5" x14ac:dyDescent="0.35">
      <c r="A11" s="1029">
        <v>201</v>
      </c>
      <c r="B11" s="163" t="s">
        <v>920</v>
      </c>
      <c r="C11" s="162"/>
      <c r="D11" s="162"/>
      <c r="E11" s="162"/>
      <c r="F11" s="162"/>
      <c r="G11" s="162"/>
      <c r="H11" s="162"/>
      <c r="I11" s="162"/>
      <c r="J11" s="162"/>
      <c r="K11" s="162"/>
      <c r="L11" s="162"/>
      <c r="M11" s="162"/>
      <c r="N11" s="162"/>
      <c r="O11" s="161">
        <v>202</v>
      </c>
      <c r="P11" s="160" t="s">
        <v>919</v>
      </c>
      <c r="Q11" s="37"/>
      <c r="R11" s="159"/>
      <c r="S11" s="159"/>
      <c r="T11" s="159"/>
      <c r="U11" s="162"/>
      <c r="V11" s="159"/>
      <c r="W11" s="159"/>
      <c r="X11" s="159"/>
      <c r="Y11" s="159"/>
      <c r="Z11" s="159"/>
      <c r="AA11" s="159"/>
      <c r="AB11" s="159"/>
      <c r="AC11" s="159"/>
      <c r="AD11" s="159"/>
      <c r="AE11" s="159"/>
      <c r="AF11" s="159"/>
      <c r="AG11" s="159"/>
      <c r="AH11" s="159"/>
      <c r="AI11" s="158"/>
    </row>
    <row r="12" spans="1:35" ht="17.25" customHeight="1" x14ac:dyDescent="0.35">
      <c r="A12" s="1030"/>
      <c r="B12" s="1040" t="str">
        <f>Parametros!D4</f>
        <v>1306304542001</v>
      </c>
      <c r="C12" s="1041"/>
      <c r="D12" s="1041"/>
      <c r="E12" s="1041"/>
      <c r="F12" s="1041"/>
      <c r="G12" s="1041"/>
      <c r="H12" s="1041"/>
      <c r="I12" s="1041"/>
      <c r="J12" s="1041"/>
      <c r="K12" s="1041"/>
      <c r="L12" s="1041"/>
      <c r="M12" s="1041"/>
      <c r="N12" s="1042"/>
      <c r="O12" s="157"/>
      <c r="P12" s="1039" t="str">
        <f>Parametros!D5</f>
        <v>VELIZ NAPA JAVIER</v>
      </c>
      <c r="Q12" s="1039"/>
      <c r="R12" s="1039"/>
      <c r="S12" s="1039"/>
      <c r="T12" s="1039"/>
      <c r="U12" s="1039"/>
      <c r="V12" s="1039"/>
      <c r="W12" s="1039"/>
      <c r="X12" s="1039"/>
      <c r="Y12" s="1039"/>
      <c r="Z12" s="1039"/>
      <c r="AA12" s="1039"/>
      <c r="AB12" s="1039"/>
      <c r="AC12" s="1039"/>
      <c r="AD12" s="1039"/>
      <c r="AE12" s="1039"/>
      <c r="AF12" s="1039"/>
      <c r="AG12" s="1039"/>
      <c r="AH12" s="1039"/>
      <c r="AI12" s="250"/>
    </row>
    <row r="13" spans="1:35" ht="21" customHeight="1" thickBot="1" x14ac:dyDescent="0.4">
      <c r="A13" s="156"/>
      <c r="B13" s="155"/>
      <c r="AI13" s="19"/>
    </row>
    <row r="14" spans="1:35" s="139" customFormat="1" ht="21" customHeight="1" thickBot="1" x14ac:dyDescent="0.4">
      <c r="A14" s="1053" t="s">
        <v>990</v>
      </c>
      <c r="B14" s="1054"/>
      <c r="C14" s="1054"/>
      <c r="D14" s="1054"/>
      <c r="E14" s="1054"/>
      <c r="F14" s="1054"/>
      <c r="G14" s="1054"/>
      <c r="H14" s="1054"/>
      <c r="I14" s="1054"/>
      <c r="J14" s="1054"/>
      <c r="K14" s="1054"/>
      <c r="L14" s="1054"/>
      <c r="M14" s="1054"/>
      <c r="N14" s="1054"/>
      <c r="O14" s="1054"/>
      <c r="P14" s="1054"/>
      <c r="Q14" s="1054"/>
      <c r="R14" s="1054"/>
      <c r="S14" s="1054"/>
      <c r="T14" s="1054"/>
      <c r="U14" s="1054"/>
      <c r="V14" s="1054"/>
      <c r="W14" s="1054"/>
      <c r="X14" s="1054"/>
      <c r="Y14" s="1054"/>
      <c r="Z14" s="1054"/>
      <c r="AA14" s="1054"/>
      <c r="AB14" s="1054"/>
      <c r="AC14" s="1054"/>
      <c r="AD14" s="1054"/>
      <c r="AE14" s="1054"/>
      <c r="AF14" s="1054"/>
      <c r="AG14" s="1054"/>
      <c r="AH14" s="1054"/>
      <c r="AI14" s="1055"/>
    </row>
    <row r="15" spans="1:35" s="139" customFormat="1" ht="21" customHeight="1" thickBot="1" x14ac:dyDescent="0.4">
      <c r="A15" s="1053" t="s">
        <v>2246</v>
      </c>
      <c r="B15" s="1054"/>
      <c r="C15" s="1054"/>
      <c r="D15" s="1054"/>
      <c r="E15" s="1054"/>
      <c r="F15" s="1054"/>
      <c r="G15" s="1054"/>
      <c r="H15" s="1054"/>
      <c r="I15" s="1054"/>
      <c r="J15" s="1054"/>
      <c r="K15" s="1054"/>
      <c r="L15" s="1054"/>
      <c r="M15" s="1054"/>
      <c r="N15" s="1054"/>
      <c r="O15" s="1054"/>
      <c r="P15" s="1054"/>
      <c r="Q15" s="1054"/>
      <c r="R15" s="1054"/>
      <c r="S15" s="1054"/>
      <c r="T15" s="1054"/>
      <c r="U15" s="1054"/>
      <c r="V15" s="1054"/>
      <c r="W15" s="1054"/>
      <c r="X15" s="1054"/>
      <c r="Y15" s="1054"/>
      <c r="Z15" s="1054"/>
      <c r="AA15" s="1054"/>
      <c r="AB15" s="1054"/>
      <c r="AC15" s="1054"/>
      <c r="AD15" s="1054"/>
      <c r="AE15" s="1054"/>
      <c r="AF15" s="1054"/>
      <c r="AG15" s="1054"/>
      <c r="AH15" s="1054"/>
      <c r="AI15" s="1055"/>
    </row>
    <row r="16" spans="1:35" s="139" customFormat="1" ht="21" customHeight="1" thickBot="1" x14ac:dyDescent="0.4">
      <c r="A16" s="833"/>
      <c r="B16" s="834"/>
      <c r="C16" s="834"/>
      <c r="D16" s="834"/>
      <c r="E16" s="834"/>
      <c r="F16" s="834"/>
      <c r="G16" s="834"/>
      <c r="H16" s="834"/>
      <c r="I16" s="834"/>
      <c r="J16" s="834"/>
      <c r="K16" s="834"/>
      <c r="L16" s="834"/>
      <c r="M16" s="834"/>
      <c r="N16" s="834"/>
      <c r="O16" s="834"/>
      <c r="P16" s="834"/>
      <c r="Q16" s="834"/>
      <c r="R16" s="834"/>
      <c r="S16" s="834"/>
      <c r="T16" s="834"/>
      <c r="U16" s="834"/>
      <c r="V16" s="1053" t="s">
        <v>989</v>
      </c>
      <c r="W16" s="1054"/>
      <c r="X16" s="1054"/>
      <c r="Y16" s="1054"/>
      <c r="Z16" s="1054"/>
      <c r="AA16" s="1054"/>
      <c r="AB16" s="1055"/>
      <c r="AC16" s="1053" t="s">
        <v>988</v>
      </c>
      <c r="AD16" s="1054"/>
      <c r="AE16" s="1054"/>
      <c r="AF16" s="1054"/>
      <c r="AG16" s="1054"/>
      <c r="AH16" s="1054"/>
      <c r="AI16" s="1055"/>
    </row>
    <row r="17" spans="1:37" ht="21" customHeight="1" outlineLevel="1" thickBot="1" x14ac:dyDescent="0.4">
      <c r="A17" s="957" t="s">
        <v>2247</v>
      </c>
      <c r="B17" s="958"/>
      <c r="C17" s="958"/>
      <c r="D17" s="958"/>
      <c r="E17" s="958"/>
      <c r="F17" s="958"/>
      <c r="G17" s="958"/>
      <c r="H17" s="958"/>
      <c r="I17" s="958"/>
      <c r="J17" s="958"/>
      <c r="K17" s="958"/>
      <c r="L17" s="958"/>
      <c r="M17" s="958"/>
      <c r="N17" s="958"/>
      <c r="O17" s="958"/>
      <c r="P17" s="958"/>
      <c r="Q17" s="958"/>
      <c r="R17" s="958"/>
      <c r="S17" s="958"/>
      <c r="T17" s="958"/>
      <c r="U17" s="958"/>
      <c r="V17" s="958"/>
      <c r="W17" s="958"/>
      <c r="X17" s="958"/>
      <c r="Y17" s="958"/>
      <c r="Z17" s="958"/>
      <c r="AA17" s="958"/>
      <c r="AB17" s="958"/>
      <c r="AC17" s="958"/>
      <c r="AD17" s="958"/>
      <c r="AE17" s="958"/>
      <c r="AF17" s="958"/>
      <c r="AG17" s="958"/>
      <c r="AH17" s="958"/>
      <c r="AI17" s="959"/>
    </row>
    <row r="18" spans="1:37" ht="21" customHeight="1" outlineLevel="1" x14ac:dyDescent="0.35">
      <c r="A18" s="119" t="s">
        <v>987</v>
      </c>
      <c r="B18" s="118"/>
      <c r="C18" s="118"/>
      <c r="D18" s="118"/>
      <c r="E18" s="118"/>
      <c r="F18" s="118"/>
      <c r="G18" s="118"/>
      <c r="H18" s="118"/>
      <c r="I18" s="118"/>
      <c r="J18" s="118"/>
      <c r="K18" s="118"/>
      <c r="L18" s="118"/>
      <c r="M18" s="118"/>
      <c r="N18" s="118"/>
      <c r="O18" s="118"/>
      <c r="P18" s="118"/>
      <c r="Q18" s="118"/>
      <c r="R18" s="118"/>
      <c r="S18" s="118"/>
      <c r="T18" s="118"/>
      <c r="U18" s="238"/>
      <c r="V18" s="111">
        <v>302</v>
      </c>
      <c r="W18" s="225" t="s">
        <v>770</v>
      </c>
      <c r="X18" s="953">
        <f>+SUMIFS(COMPRAS!BG:BG,COMPRAS!BF:BF,V18,COMPRAS!DD:DD,"SI")+SUMIFS(COMPRAS!BP:BP,COMPRAS!BO:BO,V18,COMPRAS!DD:DD,"SI")+SUMIFS(COMPRAS!BY:BY,COMPRAS!BX:BX,V18,COMPRAS!DD:DD,"SI")</f>
        <v>0</v>
      </c>
      <c r="Y18" s="954"/>
      <c r="Z18" s="954"/>
      <c r="AA18" s="954"/>
      <c r="AB18" s="130"/>
      <c r="AC18" s="111">
        <v>352</v>
      </c>
      <c r="AD18" s="74" t="s">
        <v>770</v>
      </c>
      <c r="AE18" s="953">
        <f>SUMIFS(COMPRAS!BI:BI,COMPRAS!BF:BF,V18,COMPRAS!DD:DD,"SI")+SUMIFS(COMPRAS!BR:BR,COMPRAS!BO:BO,V18,COMPRAS!DD:DD,"SI")+SUMIFS(COMPRAS!CA:CA,COMPRAS!BX:BX,V18,COMPRAS!DD:DD,"SI")</f>
        <v>0</v>
      </c>
      <c r="AF18" s="954"/>
      <c r="AG18" s="954"/>
      <c r="AH18" s="954"/>
      <c r="AI18" s="14"/>
      <c r="AK18" s="75"/>
    </row>
    <row r="19" spans="1:37" ht="21" customHeight="1" outlineLevel="1" x14ac:dyDescent="0.35">
      <c r="A19" s="1081" t="s">
        <v>986</v>
      </c>
      <c r="B19" s="1082"/>
      <c r="C19" s="1083"/>
      <c r="D19" s="15" t="s">
        <v>985</v>
      </c>
      <c r="E19" s="15"/>
      <c r="F19" s="15"/>
      <c r="G19" s="15"/>
      <c r="H19" s="15"/>
      <c r="I19" s="15"/>
      <c r="J19" s="15"/>
      <c r="K19" s="15"/>
      <c r="L19" s="15"/>
      <c r="M19" s="15"/>
      <c r="N19" s="15"/>
      <c r="O19" s="15"/>
      <c r="P19" s="15"/>
      <c r="Q19" s="15"/>
      <c r="R19" s="15"/>
      <c r="S19" s="15"/>
      <c r="T19" s="15"/>
      <c r="U19" s="130"/>
      <c r="V19" s="111">
        <v>303</v>
      </c>
      <c r="W19" s="225" t="s">
        <v>770</v>
      </c>
      <c r="X19" s="953">
        <f>SUM(X20:AA20)</f>
        <v>0</v>
      </c>
      <c r="Y19" s="954"/>
      <c r="Z19" s="954"/>
      <c r="AA19" s="954"/>
      <c r="AB19" s="130"/>
      <c r="AC19" s="111">
        <v>353</v>
      </c>
      <c r="AD19" s="74" t="s">
        <v>770</v>
      </c>
      <c r="AE19" s="953">
        <f>SUM(AE20:AH20)</f>
        <v>0</v>
      </c>
      <c r="AF19" s="954"/>
      <c r="AG19" s="954"/>
      <c r="AH19" s="954"/>
      <c r="AI19" s="14"/>
      <c r="AJ19" s="270"/>
    </row>
    <row r="20" spans="1:37" ht="21" hidden="1" customHeight="1" outlineLevel="2" x14ac:dyDescent="0.35">
      <c r="A20" s="1077"/>
      <c r="B20" s="989"/>
      <c r="C20" s="997"/>
      <c r="D20" s="15"/>
      <c r="E20" s="15"/>
      <c r="F20" s="15"/>
      <c r="G20" s="15"/>
      <c r="H20" s="15"/>
      <c r="I20" s="15"/>
      <c r="J20" s="15"/>
      <c r="K20" s="15"/>
      <c r="L20" s="15"/>
      <c r="M20" s="15"/>
      <c r="N20" s="15"/>
      <c r="O20" s="15"/>
      <c r="P20" s="15"/>
      <c r="Q20" s="15"/>
      <c r="R20" s="15"/>
      <c r="S20" s="15"/>
      <c r="T20" s="15"/>
      <c r="U20" s="245" t="s">
        <v>2224</v>
      </c>
      <c r="V20" s="793">
        <v>303</v>
      </c>
      <c r="W20" s="225"/>
      <c r="X20" s="953">
        <f>+SUMIFS(COMPRAS!BG:BG,COMPRAS!BF:BF,V20,COMPRAS!DD:DD,"SI")+SUMIFS(COMPRAS!BP:BP,COMPRAS!BO:BO,V20,COMPRAS!DD:DD,"SI")+SUMIFS(COMPRAS!BY:BY,COMPRAS!BX:BX,V20,COMPRAS!DD:DD,"SI")</f>
        <v>0</v>
      </c>
      <c r="Y20" s="954"/>
      <c r="Z20" s="954"/>
      <c r="AA20" s="954"/>
      <c r="AB20" s="130"/>
      <c r="AC20" s="226"/>
      <c r="AD20" s="74"/>
      <c r="AE20" s="953">
        <f>SUMIFS(COMPRAS!BI:BI,COMPRAS!BF:BF,V20,COMPRAS!DD:DD,"SI")+SUMIFS(COMPRAS!BR:BR,COMPRAS!BO:BO,V20,COMPRAS!DD:DD,"SI")+SUMIFS(COMPRAS!CA:CA,COMPRAS!BX:BX,V20,COMPRAS!DD:DD,"SI")</f>
        <v>0</v>
      </c>
      <c r="AF20" s="954"/>
      <c r="AG20" s="954"/>
      <c r="AH20" s="954"/>
      <c r="AI20" s="14"/>
      <c r="AJ20" s="270"/>
    </row>
    <row r="21" spans="1:37" ht="21" customHeight="1" outlineLevel="1" collapsed="1" x14ac:dyDescent="0.35">
      <c r="A21" s="1077"/>
      <c r="B21" s="989"/>
      <c r="C21" s="997"/>
      <c r="D21" s="15" t="s">
        <v>2234</v>
      </c>
      <c r="E21" s="15"/>
      <c r="F21" s="15"/>
      <c r="G21" s="15"/>
      <c r="H21" s="15"/>
      <c r="I21" s="15"/>
      <c r="J21" s="15"/>
      <c r="K21" s="15"/>
      <c r="L21" s="15"/>
      <c r="M21" s="15"/>
      <c r="N21" s="15"/>
      <c r="O21" s="15"/>
      <c r="P21" s="15"/>
      <c r="Q21" s="15"/>
      <c r="R21" s="15"/>
      <c r="S21" s="15"/>
      <c r="T21" s="15"/>
      <c r="U21" s="245"/>
      <c r="V21" s="111">
        <v>3030</v>
      </c>
      <c r="W21" s="225" t="s">
        <v>770</v>
      </c>
      <c r="X21" s="953">
        <f>SUM(X22:AA22)</f>
        <v>0</v>
      </c>
      <c r="Y21" s="954"/>
      <c r="Z21" s="954"/>
      <c r="AA21" s="954"/>
      <c r="AB21" s="130"/>
      <c r="AC21" s="111">
        <v>3530</v>
      </c>
      <c r="AD21" s="74" t="s">
        <v>770</v>
      </c>
      <c r="AE21" s="953">
        <f>SUM(AE22:AH22)</f>
        <v>0</v>
      </c>
      <c r="AF21" s="954"/>
      <c r="AG21" s="954"/>
      <c r="AH21" s="954"/>
      <c r="AI21" s="14"/>
      <c r="AJ21" s="270"/>
    </row>
    <row r="22" spans="1:37" ht="21" hidden="1" customHeight="1" outlineLevel="2" x14ac:dyDescent="0.35">
      <c r="A22" s="1077"/>
      <c r="B22" s="989"/>
      <c r="C22" s="997"/>
      <c r="D22" s="15"/>
      <c r="E22" s="15"/>
      <c r="F22" s="15"/>
      <c r="G22" s="15"/>
      <c r="H22" s="15"/>
      <c r="I22" s="15"/>
      <c r="J22" s="15"/>
      <c r="K22" s="15"/>
      <c r="L22" s="15"/>
      <c r="M22" s="15"/>
      <c r="N22" s="15"/>
      <c r="O22" s="15"/>
      <c r="P22" s="15"/>
      <c r="Q22" s="15"/>
      <c r="R22" s="15"/>
      <c r="S22" s="15"/>
      <c r="T22" s="15"/>
      <c r="U22" s="245" t="s">
        <v>2210</v>
      </c>
      <c r="V22" s="793" t="s">
        <v>2209</v>
      </c>
      <c r="W22" s="225"/>
      <c r="X22" s="953">
        <f>+SUMIFS(COMPRAS!BG:BG,COMPRAS!BF:BF,V22,COMPRAS!DD:DD,"SI")+SUMIFS(COMPRAS!BP:BP,COMPRAS!BO:BO,V22,COMPRAS!DD:DD,"SI")+SUMIFS(COMPRAS!BY:BY,COMPRAS!BX:BX,V22,COMPRAS!DD:DD,"SI")</f>
        <v>0</v>
      </c>
      <c r="Y22" s="954"/>
      <c r="Z22" s="954"/>
      <c r="AA22" s="954"/>
      <c r="AB22" s="130"/>
      <c r="AC22" s="226"/>
      <c r="AD22" s="74"/>
      <c r="AE22" s="953">
        <f>SUMIFS(COMPRAS!BI:BI,COMPRAS!BF:BF,V22,COMPRAS!DD:DD,"SI")+SUMIFS(COMPRAS!BR:BR,COMPRAS!BO:BO,V22,COMPRAS!DD:DD,"SI")+SUMIFS(COMPRAS!CA:CA,COMPRAS!BX:BX,V22,COMPRAS!DD:DD,"SI")</f>
        <v>0</v>
      </c>
      <c r="AF22" s="954"/>
      <c r="AG22" s="954"/>
      <c r="AH22" s="954"/>
      <c r="AI22" s="14"/>
      <c r="AJ22" s="270"/>
    </row>
    <row r="23" spans="1:37" ht="21" customHeight="1" outlineLevel="1" collapsed="1" x14ac:dyDescent="0.35">
      <c r="A23" s="1077"/>
      <c r="B23" s="989"/>
      <c r="C23" s="997"/>
      <c r="D23" s="15" t="s">
        <v>984</v>
      </c>
      <c r="E23" s="15"/>
      <c r="F23" s="15"/>
      <c r="G23" s="15"/>
      <c r="H23" s="15"/>
      <c r="I23" s="15"/>
      <c r="J23" s="15"/>
      <c r="K23" s="15"/>
      <c r="L23" s="15"/>
      <c r="M23" s="15"/>
      <c r="N23" s="15"/>
      <c r="O23" s="15"/>
      <c r="P23" s="15"/>
      <c r="Q23" s="15"/>
      <c r="R23" s="15"/>
      <c r="S23" s="15"/>
      <c r="T23" s="15"/>
      <c r="U23" s="130"/>
      <c r="V23" s="111">
        <v>304</v>
      </c>
      <c r="W23" s="225" t="s">
        <v>770</v>
      </c>
      <c r="X23" s="953">
        <f>SUM(X24:AA29)</f>
        <v>0</v>
      </c>
      <c r="Y23" s="954"/>
      <c r="Z23" s="954"/>
      <c r="AA23" s="954"/>
      <c r="AB23" s="130"/>
      <c r="AC23" s="226">
        <v>354</v>
      </c>
      <c r="AD23" s="74" t="s">
        <v>770</v>
      </c>
      <c r="AE23" s="953">
        <f>SUM(AE24:AH29)</f>
        <v>0</v>
      </c>
      <c r="AF23" s="954"/>
      <c r="AG23" s="954"/>
      <c r="AH23" s="954"/>
      <c r="AI23" s="14"/>
      <c r="AJ23" s="270"/>
    </row>
    <row r="24" spans="1:37" ht="21" hidden="1" customHeight="1" outlineLevel="2" x14ac:dyDescent="0.35">
      <c r="A24" s="1077"/>
      <c r="B24" s="989"/>
      <c r="C24" s="997"/>
      <c r="D24" s="76"/>
      <c r="E24" s="76"/>
      <c r="F24" s="15"/>
      <c r="G24" s="15"/>
      <c r="H24" s="15"/>
      <c r="I24" s="15"/>
      <c r="J24" s="15"/>
      <c r="K24" s="15"/>
      <c r="L24" s="15"/>
      <c r="M24" s="15"/>
      <c r="N24" s="15"/>
      <c r="O24" s="15"/>
      <c r="P24" s="15"/>
      <c r="Q24" s="15"/>
      <c r="R24" s="15"/>
      <c r="S24" s="15"/>
      <c r="T24" s="15"/>
      <c r="U24" s="245" t="s">
        <v>81</v>
      </c>
      <c r="V24" s="246">
        <v>304</v>
      </c>
      <c r="W24" s="225"/>
      <c r="X24" s="953">
        <f>+SUMIFS(COMPRAS!BG:BG,COMPRAS!BF:BF,V24,COMPRAS!DD:DD,"SI")+SUMIFS(COMPRAS!BP:BP,COMPRAS!BO:BO,V24,COMPRAS!DD:DD,"SI")+SUMIFS(COMPRAS!BY:BY,COMPRAS!BX:BX,V24,COMPRAS!DD:DD,"SI")</f>
        <v>0</v>
      </c>
      <c r="Y24" s="954"/>
      <c r="Z24" s="954"/>
      <c r="AA24" s="954"/>
      <c r="AB24" s="130"/>
      <c r="AC24" s="226"/>
      <c r="AD24" s="74"/>
      <c r="AE24" s="953">
        <f>SUMIFS(COMPRAS!BI:BI,COMPRAS!BF:BF,V24,COMPRAS!DD:DD,"SI")+SUMIFS(COMPRAS!BR:BR,COMPRAS!BO:BO,V24,COMPRAS!DD:DD,"SI")+SUMIFS(COMPRAS!CA:CA,COMPRAS!BX:BX,V24,COMPRAS!DD:DD,"SI")</f>
        <v>0</v>
      </c>
      <c r="AF24" s="954"/>
      <c r="AG24" s="954"/>
      <c r="AH24" s="954"/>
      <c r="AI24" s="14"/>
    </row>
    <row r="25" spans="1:37" ht="21" hidden="1" customHeight="1" outlineLevel="2" x14ac:dyDescent="0.35">
      <c r="A25" s="1077"/>
      <c r="B25" s="989"/>
      <c r="C25" s="997"/>
      <c r="D25" s="76"/>
      <c r="E25" s="76"/>
      <c r="F25" s="15"/>
      <c r="G25" s="15"/>
      <c r="H25" s="15"/>
      <c r="I25" s="15"/>
      <c r="J25" s="15"/>
      <c r="K25" s="15"/>
      <c r="L25" s="15"/>
      <c r="M25" s="15"/>
      <c r="N25" s="15"/>
      <c r="O25" s="15"/>
      <c r="P25" s="15"/>
      <c r="Q25" s="15"/>
      <c r="R25" s="15"/>
      <c r="S25" s="15"/>
      <c r="T25" s="15"/>
      <c r="U25" s="245" t="s">
        <v>83</v>
      </c>
      <c r="V25" s="246" t="s">
        <v>82</v>
      </c>
      <c r="W25" s="225"/>
      <c r="X25" s="953">
        <f>+SUMIFS(COMPRAS!BG:BG,COMPRAS!BF:BF,V25,COMPRAS!DD:DD,"SI")+SUMIFS(COMPRAS!BP:BP,COMPRAS!BO:BO,V25,COMPRAS!DD:DD,"SI")+SUMIFS(COMPRAS!BY:BY,COMPRAS!BX:BX,V25,COMPRAS!DD:DD,"SI")</f>
        <v>0</v>
      </c>
      <c r="Y25" s="954"/>
      <c r="Z25" s="954"/>
      <c r="AA25" s="954"/>
      <c r="AB25" s="130"/>
      <c r="AC25" s="226"/>
      <c r="AD25" s="74"/>
      <c r="AE25" s="953">
        <f>SUMIFS(COMPRAS!BI:BI,COMPRAS!BF:BF,V25,COMPRAS!DD:DD,"SI")+SUMIFS(COMPRAS!BR:BR,COMPRAS!BO:BO,V25,COMPRAS!DD:DD,"SI")+SUMIFS(COMPRAS!CA:CA,COMPRAS!BX:BX,V25,COMPRAS!DD:DD,"SI")</f>
        <v>0</v>
      </c>
      <c r="AF25" s="954"/>
      <c r="AG25" s="954"/>
      <c r="AH25" s="954"/>
      <c r="AI25" s="14"/>
    </row>
    <row r="26" spans="1:37" ht="21" hidden="1" customHeight="1" outlineLevel="2" x14ac:dyDescent="0.35">
      <c r="A26" s="1077"/>
      <c r="B26" s="989"/>
      <c r="C26" s="997"/>
      <c r="D26" s="76"/>
      <c r="E26" s="76"/>
      <c r="F26" s="15"/>
      <c r="G26" s="15"/>
      <c r="H26" s="15"/>
      <c r="I26" s="15"/>
      <c r="J26" s="15"/>
      <c r="K26" s="15"/>
      <c r="L26" s="15"/>
      <c r="M26" s="15"/>
      <c r="N26" s="15"/>
      <c r="O26" s="15"/>
      <c r="P26" s="15"/>
      <c r="Q26" s="15"/>
      <c r="R26" s="15"/>
      <c r="S26" s="15"/>
      <c r="T26" s="15"/>
      <c r="U26" s="245" t="s">
        <v>85</v>
      </c>
      <c r="V26" s="246" t="s">
        <v>84</v>
      </c>
      <c r="W26" s="225"/>
      <c r="X26" s="953">
        <f>+SUMIFS(COMPRAS!BG:BG,COMPRAS!BF:BF,V26,COMPRAS!DD:DD,"SI")+SUMIFS(COMPRAS!BP:BP,COMPRAS!BO:BO,V26,COMPRAS!DD:DD,"SI")+SUMIFS(COMPRAS!BY:BY,COMPRAS!BX:BX,V26,COMPRAS!DD:DD,"SI")</f>
        <v>0</v>
      </c>
      <c r="Y26" s="954"/>
      <c r="Z26" s="954"/>
      <c r="AA26" s="954"/>
      <c r="AB26" s="130"/>
      <c r="AC26" s="226"/>
      <c r="AD26" s="74"/>
      <c r="AE26" s="953">
        <f>SUMIFS(COMPRAS!BI:BI,COMPRAS!BF:BF,V26,COMPRAS!DD:DD,"SI")+SUMIFS(COMPRAS!BR:BR,COMPRAS!BO:BO,V26,COMPRAS!DD:DD,"SI")+SUMIFS(COMPRAS!CA:CA,COMPRAS!BX:BX,V26,COMPRAS!DD:DD,"SI")</f>
        <v>0</v>
      </c>
      <c r="AF26" s="954"/>
      <c r="AG26" s="954"/>
      <c r="AH26" s="954"/>
      <c r="AI26" s="14"/>
    </row>
    <row r="27" spans="1:37" ht="21" hidden="1" customHeight="1" outlineLevel="2" x14ac:dyDescent="0.35">
      <c r="A27" s="1077"/>
      <c r="B27" s="989"/>
      <c r="C27" s="997"/>
      <c r="D27" s="76"/>
      <c r="E27" s="76"/>
      <c r="F27" s="15"/>
      <c r="G27" s="15"/>
      <c r="H27" s="15"/>
      <c r="I27" s="15"/>
      <c r="J27" s="15"/>
      <c r="K27" s="15"/>
      <c r="L27" s="15"/>
      <c r="M27" s="15"/>
      <c r="N27" s="15"/>
      <c r="O27" s="15"/>
      <c r="P27" s="15"/>
      <c r="Q27" s="15"/>
      <c r="R27" s="15"/>
      <c r="S27" s="15"/>
      <c r="T27" s="15"/>
      <c r="U27" s="245" t="s">
        <v>87</v>
      </c>
      <c r="V27" s="246" t="s">
        <v>86</v>
      </c>
      <c r="W27" s="225"/>
      <c r="X27" s="953">
        <f>+SUMIFS(COMPRAS!BG:BG,COMPRAS!BF:BF,V27,COMPRAS!DD:DD,"SI")+SUMIFS(COMPRAS!BP:BP,COMPRAS!BO:BO,V27,COMPRAS!DD:DD,"SI")+SUMIFS(COMPRAS!BY:BY,COMPRAS!BX:BX,V27,COMPRAS!DD:DD,"SI")</f>
        <v>0</v>
      </c>
      <c r="Y27" s="954"/>
      <c r="Z27" s="954"/>
      <c r="AA27" s="954"/>
      <c r="AB27" s="130"/>
      <c r="AC27" s="226"/>
      <c r="AD27" s="74"/>
      <c r="AE27" s="953">
        <f>SUMIFS(COMPRAS!BI:BI,COMPRAS!BF:BF,V27,COMPRAS!DD:DD,"SI")+SUMIFS(COMPRAS!BR:BR,COMPRAS!BO:BO,V27,COMPRAS!DD:DD,"SI")+SUMIFS(COMPRAS!CA:CA,COMPRAS!BX:BX,V27,COMPRAS!DD:DD,"SI")</f>
        <v>0</v>
      </c>
      <c r="AF27" s="954"/>
      <c r="AG27" s="954"/>
      <c r="AH27" s="954"/>
      <c r="AI27" s="14"/>
    </row>
    <row r="28" spans="1:37" ht="21" hidden="1" customHeight="1" outlineLevel="2" x14ac:dyDescent="0.35">
      <c r="A28" s="1077"/>
      <c r="B28" s="989"/>
      <c r="C28" s="997"/>
      <c r="D28" s="76"/>
      <c r="E28" s="76"/>
      <c r="F28" s="15"/>
      <c r="G28" s="15"/>
      <c r="H28" s="15"/>
      <c r="I28" s="15"/>
      <c r="J28" s="15"/>
      <c r="K28" s="15"/>
      <c r="L28" s="15"/>
      <c r="M28" s="15"/>
      <c r="N28" s="15"/>
      <c r="O28" s="15"/>
      <c r="P28" s="15"/>
      <c r="Q28" s="15"/>
      <c r="R28" s="15"/>
      <c r="S28" s="15"/>
      <c r="T28" s="15"/>
      <c r="U28" s="245" t="s">
        <v>89</v>
      </c>
      <c r="V28" s="246" t="s">
        <v>88</v>
      </c>
      <c r="W28" s="225"/>
      <c r="X28" s="953">
        <f>+SUMIFS(COMPRAS!BG:BG,COMPRAS!BF:BF,V28,COMPRAS!DD:DD,"SI")+SUMIFS(COMPRAS!BP:BP,COMPRAS!BO:BO,V28,COMPRAS!DD:DD,"SI")+SUMIFS(COMPRAS!BY:BY,COMPRAS!BX:BX,V28,COMPRAS!DD:DD,"SI")</f>
        <v>0</v>
      </c>
      <c r="Y28" s="954"/>
      <c r="Z28" s="954"/>
      <c r="AA28" s="954"/>
      <c r="AB28" s="130"/>
      <c r="AC28" s="226"/>
      <c r="AD28" s="74"/>
      <c r="AE28" s="953">
        <f>SUMIFS(COMPRAS!BI:BI,COMPRAS!BF:BF,V28,COMPRAS!DD:DD,"SI")+SUMIFS(COMPRAS!BR:BR,COMPRAS!BO:BO,V28,COMPRAS!DD:DD,"SI")+SUMIFS(COMPRAS!CA:CA,COMPRAS!BX:BX,V28,COMPRAS!DD:DD,"SI")</f>
        <v>0</v>
      </c>
      <c r="AF28" s="954"/>
      <c r="AG28" s="954"/>
      <c r="AH28" s="954"/>
      <c r="AI28" s="14"/>
    </row>
    <row r="29" spans="1:37" ht="21" hidden="1" customHeight="1" outlineLevel="2" x14ac:dyDescent="0.35">
      <c r="A29" s="1077"/>
      <c r="B29" s="989"/>
      <c r="C29" s="997"/>
      <c r="D29" s="76"/>
      <c r="E29" s="76"/>
      <c r="F29" s="15"/>
      <c r="G29" s="15"/>
      <c r="H29" s="15"/>
      <c r="I29" s="15"/>
      <c r="J29" s="15"/>
      <c r="K29" s="15"/>
      <c r="L29" s="15"/>
      <c r="M29" s="15"/>
      <c r="N29" s="15"/>
      <c r="O29" s="15"/>
      <c r="P29" s="15"/>
      <c r="Q29" s="15"/>
      <c r="R29" s="15"/>
      <c r="S29" s="15"/>
      <c r="T29" s="15"/>
      <c r="U29" s="245" t="s">
        <v>91</v>
      </c>
      <c r="V29" s="246" t="s">
        <v>90</v>
      </c>
      <c r="W29" s="225"/>
      <c r="X29" s="953">
        <f>+SUMIFS(COMPRAS!BG:BG,COMPRAS!BF:BF,V29,COMPRAS!DD:DD,"SI")+SUMIFS(COMPRAS!BP:BP,COMPRAS!BO:BO,V29,COMPRAS!DD:DD,"SI")+SUMIFS(COMPRAS!BY:BY,COMPRAS!BX:BX,V29,COMPRAS!DD:DD,"SI")</f>
        <v>0</v>
      </c>
      <c r="Y29" s="954"/>
      <c r="Z29" s="954"/>
      <c r="AA29" s="954"/>
      <c r="AB29" s="130"/>
      <c r="AC29" s="226"/>
      <c r="AD29" s="74"/>
      <c r="AE29" s="953">
        <f>SUMIFS(COMPRAS!BI:BI,COMPRAS!BF:BF,V29,COMPRAS!DD:DD,"SI")+SUMIFS(COMPRAS!BR:BR,COMPRAS!BO:BO,V29,COMPRAS!DD:DD,"SI")+SUMIFS(COMPRAS!CA:CA,COMPRAS!BX:BX,V29,COMPRAS!DD:DD,"SI")</f>
        <v>0</v>
      </c>
      <c r="AF29" s="954"/>
      <c r="AG29" s="954"/>
      <c r="AH29" s="954"/>
      <c r="AI29" s="14"/>
    </row>
    <row r="30" spans="1:37" ht="21" customHeight="1" outlineLevel="1" collapsed="1" x14ac:dyDescent="0.35">
      <c r="A30" s="1077"/>
      <c r="B30" s="989"/>
      <c r="C30" s="997"/>
      <c r="D30" s="15" t="s">
        <v>983</v>
      </c>
      <c r="E30" s="15"/>
      <c r="F30" s="15"/>
      <c r="G30" s="15"/>
      <c r="H30" s="15"/>
      <c r="I30" s="15"/>
      <c r="J30" s="15"/>
      <c r="K30" s="15"/>
      <c r="L30" s="15"/>
      <c r="M30" s="15"/>
      <c r="N30" s="15"/>
      <c r="O30" s="15"/>
      <c r="P30" s="15"/>
      <c r="Q30" s="15"/>
      <c r="R30" s="15"/>
      <c r="S30" s="15"/>
      <c r="T30" s="15"/>
      <c r="U30" s="130"/>
      <c r="V30" s="111">
        <v>307</v>
      </c>
      <c r="W30" s="225" t="s">
        <v>770</v>
      </c>
      <c r="X30" s="953">
        <f>+SUMIFS(COMPRAS!BG:BG,COMPRAS!BF:BF,V30,COMPRAS!DD:DD,"SI")+SUMIFS(COMPRAS!BP:BP,COMPRAS!BO:BO,V30,COMPRAS!DD:DD,"SI")+SUMIFS(COMPRAS!BY:BY,COMPRAS!BX:BX,V30,COMPRAS!DD:DD,"SI")</f>
        <v>0</v>
      </c>
      <c r="Y30" s="954"/>
      <c r="Z30" s="954"/>
      <c r="AA30" s="954"/>
      <c r="AB30" s="130"/>
      <c r="AC30" s="111">
        <v>357</v>
      </c>
      <c r="AD30" s="74" t="s">
        <v>770</v>
      </c>
      <c r="AE30" s="953">
        <f>SUMIFS(COMPRAS!BI:BI,COMPRAS!BF:BF,V30,COMPRAS!DD:DD,"SI")+SUMIFS(COMPRAS!BR:BR,COMPRAS!BO:BO,V30,COMPRAS!DD:DD,"SI")+SUMIFS(COMPRAS!CA:CA,COMPRAS!BX:BX,V30,COMPRAS!DD:DD,"SI")</f>
        <v>0</v>
      </c>
      <c r="AF30" s="954"/>
      <c r="AG30" s="954"/>
      <c r="AH30" s="954"/>
      <c r="AI30" s="14"/>
      <c r="AJ30" s="270"/>
    </row>
    <row r="31" spans="1:37" ht="21" customHeight="1" outlineLevel="1" x14ac:dyDescent="0.35">
      <c r="A31" s="1077"/>
      <c r="B31" s="989"/>
      <c r="C31" s="997"/>
      <c r="D31" s="15" t="s">
        <v>982</v>
      </c>
      <c r="E31" s="15"/>
      <c r="F31" s="15"/>
      <c r="G31" s="15"/>
      <c r="H31" s="15"/>
      <c r="I31" s="15"/>
      <c r="J31" s="15"/>
      <c r="K31" s="15"/>
      <c r="L31" s="15"/>
      <c r="M31" s="15"/>
      <c r="N31" s="15"/>
      <c r="O31" s="15"/>
      <c r="P31" s="15"/>
      <c r="Q31" s="15"/>
      <c r="R31" s="15"/>
      <c r="S31" s="15"/>
      <c r="T31" s="15"/>
      <c r="U31" s="130"/>
      <c r="V31" s="111">
        <v>308</v>
      </c>
      <c r="W31" s="225" t="s">
        <v>770</v>
      </c>
      <c r="X31" s="953">
        <f>+SUMIFS(COMPRAS!BG:BG,COMPRAS!BF:BF,V31,COMPRAS!DD:DD,"SI")+SUMIFS(COMPRAS!BP:BP,COMPRAS!BO:BO,V31,COMPRAS!DD:DD,"SI")+SUMIFS(COMPRAS!BY:BY,COMPRAS!BX:BX,V31,COMPRAS!DD:DD,"SI")</f>
        <v>0</v>
      </c>
      <c r="Y31" s="954"/>
      <c r="Z31" s="954"/>
      <c r="AA31" s="954"/>
      <c r="AB31" s="130"/>
      <c r="AC31" s="111">
        <v>358</v>
      </c>
      <c r="AD31" s="74" t="s">
        <v>770</v>
      </c>
      <c r="AE31" s="953">
        <f>SUMIFS(COMPRAS!BI:BI,COMPRAS!BF:BF,V31,COMPRAS!DD:DD,"SI")+SUMIFS(COMPRAS!BR:BR,COMPRAS!BO:BO,V31,COMPRAS!DD:DD,"SI")+SUMIFS(COMPRAS!CA:CA,COMPRAS!BX:BX,V31,COMPRAS!DD:DD,"SI")</f>
        <v>0</v>
      </c>
      <c r="AF31" s="954"/>
      <c r="AG31" s="954"/>
      <c r="AH31" s="954"/>
      <c r="AI31" s="14"/>
      <c r="AJ31" s="270"/>
    </row>
    <row r="32" spans="1:37" ht="21" customHeight="1" outlineLevel="1" x14ac:dyDescent="0.35">
      <c r="A32" s="1077"/>
      <c r="B32" s="989"/>
      <c r="C32" s="997"/>
      <c r="D32" s="15" t="s">
        <v>981</v>
      </c>
      <c r="E32" s="15"/>
      <c r="F32" s="15"/>
      <c r="G32" s="15"/>
      <c r="H32" s="15"/>
      <c r="I32" s="15"/>
      <c r="J32" s="15"/>
      <c r="K32" s="15"/>
      <c r="L32" s="15"/>
      <c r="M32" s="15"/>
      <c r="N32" s="15"/>
      <c r="O32" s="15"/>
      <c r="P32" s="15"/>
      <c r="Q32" s="15"/>
      <c r="R32" s="15"/>
      <c r="S32" s="15"/>
      <c r="T32" s="15"/>
      <c r="U32" s="130"/>
      <c r="V32" s="111">
        <v>309</v>
      </c>
      <c r="W32" s="225" t="s">
        <v>770</v>
      </c>
      <c r="X32" s="953">
        <f>+SUMIFS(COMPRAS!BG:BG,COMPRAS!BF:BF,V32,COMPRAS!DD:DD,"SI")+SUMIFS(COMPRAS!BP:BP,COMPRAS!BO:BO,V32,COMPRAS!DD:DD,"SI")+SUMIFS(COMPRAS!BY:BY,COMPRAS!BX:BX,V32,COMPRAS!DD:DD,"SI")</f>
        <v>0</v>
      </c>
      <c r="Y32" s="954"/>
      <c r="Z32" s="954"/>
      <c r="AA32" s="954"/>
      <c r="AB32" s="130"/>
      <c r="AC32" s="111">
        <v>359</v>
      </c>
      <c r="AD32" s="74" t="s">
        <v>770</v>
      </c>
      <c r="AE32" s="953">
        <f>SUMIFS(COMPRAS!BI:BI,COMPRAS!BF:BF,V32,COMPRAS!DD:DD,"SI")+SUMIFS(COMPRAS!BR:BR,COMPRAS!BO:BO,V32,COMPRAS!DD:DD,"SI")+SUMIFS(COMPRAS!CA:CA,COMPRAS!BX:BX,V32,COMPRAS!DD:DD,"SI")</f>
        <v>0</v>
      </c>
      <c r="AF32" s="954"/>
      <c r="AG32" s="954"/>
      <c r="AH32" s="954"/>
      <c r="AI32" s="14"/>
      <c r="AJ32" s="270"/>
    </row>
    <row r="33" spans="1:36" ht="21" customHeight="1" outlineLevel="1" x14ac:dyDescent="0.35">
      <c r="A33" s="1078"/>
      <c r="B33" s="1079"/>
      <c r="C33" s="1080"/>
      <c r="D33" s="15" t="s">
        <v>980</v>
      </c>
      <c r="E33" s="15"/>
      <c r="F33" s="15"/>
      <c r="G33" s="15"/>
      <c r="H33" s="15"/>
      <c r="I33" s="15"/>
      <c r="J33" s="15"/>
      <c r="K33" s="15"/>
      <c r="L33" s="15"/>
      <c r="M33" s="15"/>
      <c r="N33" s="15"/>
      <c r="O33" s="15"/>
      <c r="P33" s="15"/>
      <c r="Q33" s="15"/>
      <c r="R33" s="15"/>
      <c r="S33" s="15"/>
      <c r="T33" s="15"/>
      <c r="U33" s="130"/>
      <c r="V33" s="111">
        <v>310</v>
      </c>
      <c r="W33" s="225" t="s">
        <v>770</v>
      </c>
      <c r="X33" s="953">
        <f>+SUMIFS(COMPRAS!BG:BG,COMPRAS!BF:BF,V33,COMPRAS!DD:DD,"SI")+SUMIFS(COMPRAS!BP:BP,COMPRAS!BO:BO,V33,COMPRAS!DD:DD,"SI")+SUMIFS(COMPRAS!BY:BY,COMPRAS!BX:BX,V33,COMPRAS!DD:DD,"SI")</f>
        <v>0</v>
      </c>
      <c r="Y33" s="954"/>
      <c r="Z33" s="954"/>
      <c r="AA33" s="954"/>
      <c r="AB33" s="130"/>
      <c r="AC33" s="226">
        <v>360</v>
      </c>
      <c r="AD33" s="74" t="s">
        <v>770</v>
      </c>
      <c r="AE33" s="953">
        <f>SUMIFS(COMPRAS!BI:BI,COMPRAS!BF:BF,V33,COMPRAS!DD:DD,"SI")+SUMIFS(COMPRAS!BR:BR,COMPRAS!BO:BO,V33,COMPRAS!DD:DD,"SI")+SUMIFS(COMPRAS!CA:CA,COMPRAS!BX:BX,V33,COMPRAS!DD:DD,"SI")</f>
        <v>0</v>
      </c>
      <c r="AF33" s="954"/>
      <c r="AG33" s="954"/>
      <c r="AH33" s="954"/>
      <c r="AI33" s="14"/>
      <c r="AJ33" s="270"/>
    </row>
    <row r="34" spans="1:36" ht="21" customHeight="1" outlineLevel="1" thickBot="1" x14ac:dyDescent="0.4">
      <c r="A34" s="41" t="s">
        <v>979</v>
      </c>
      <c r="B34" s="37"/>
      <c r="C34" s="37"/>
      <c r="D34" s="37"/>
      <c r="E34" s="15"/>
      <c r="F34" s="15"/>
      <c r="G34" s="15"/>
      <c r="H34" s="15"/>
      <c r="I34" s="15"/>
      <c r="J34" s="15"/>
      <c r="K34" s="15"/>
      <c r="L34" s="15"/>
      <c r="M34" s="15"/>
      <c r="N34" s="15"/>
      <c r="O34" s="15"/>
      <c r="P34" s="15"/>
      <c r="Q34" s="15"/>
      <c r="R34" s="15"/>
      <c r="S34" s="15"/>
      <c r="T34" s="15"/>
      <c r="U34" s="130"/>
      <c r="V34" s="54">
        <v>311</v>
      </c>
      <c r="W34" s="225" t="s">
        <v>770</v>
      </c>
      <c r="X34" s="953">
        <f>+SUMIFS(COMPRAS!BG:BG,COMPRAS!BF:BF,V34,COMPRAS!DD:DD,"SI")+SUMIFS(COMPRAS!BP:BP,COMPRAS!BO:BO,V34,COMPRAS!DD:DD,"SI")+SUMIFS(COMPRAS!BY:BY,COMPRAS!BX:BX,V34,COMPRAS!DD:DD,"SI")</f>
        <v>0</v>
      </c>
      <c r="Y34" s="954"/>
      <c r="Z34" s="954"/>
      <c r="AA34" s="954"/>
      <c r="AB34" s="130"/>
      <c r="AC34" s="226">
        <v>361</v>
      </c>
      <c r="AD34" s="74" t="s">
        <v>770</v>
      </c>
      <c r="AE34" s="953">
        <f>SUMIFS(COMPRAS!BI:BI,COMPRAS!BF:BF,V34,COMPRAS!DD:DD,"SI")+SUMIFS(COMPRAS!BR:BR,COMPRAS!BO:BO,V34,COMPRAS!DD:DD,"SI")+SUMIFS(COMPRAS!CA:CA,COMPRAS!BX:BX,V34,COMPRAS!DD:DD,"SI")</f>
        <v>0</v>
      </c>
      <c r="AF34" s="954"/>
      <c r="AG34" s="954"/>
      <c r="AH34" s="954"/>
      <c r="AI34" s="14"/>
      <c r="AJ34" s="270"/>
    </row>
    <row r="35" spans="1:36" ht="21" customHeight="1" outlineLevel="1" thickBot="1" x14ac:dyDescent="0.4">
      <c r="A35" s="957" t="s">
        <v>2248</v>
      </c>
      <c r="B35" s="958"/>
      <c r="C35" s="958"/>
      <c r="D35" s="958"/>
      <c r="E35" s="958"/>
      <c r="F35" s="958"/>
      <c r="G35" s="958"/>
      <c r="H35" s="958"/>
      <c r="I35" s="958"/>
      <c r="J35" s="958"/>
      <c r="K35" s="958"/>
      <c r="L35" s="958"/>
      <c r="M35" s="958"/>
      <c r="N35" s="958"/>
      <c r="O35" s="958"/>
      <c r="P35" s="958"/>
      <c r="Q35" s="958"/>
      <c r="R35" s="958"/>
      <c r="S35" s="958"/>
      <c r="T35" s="958"/>
      <c r="U35" s="958"/>
      <c r="V35" s="958"/>
      <c r="W35" s="958"/>
      <c r="X35" s="958"/>
      <c r="Y35" s="958"/>
      <c r="Z35" s="958"/>
      <c r="AA35" s="958"/>
      <c r="AB35" s="958"/>
      <c r="AC35" s="958"/>
      <c r="AD35" s="958"/>
      <c r="AE35" s="958"/>
      <c r="AF35" s="958"/>
      <c r="AG35" s="958"/>
      <c r="AH35" s="958"/>
      <c r="AI35" s="959"/>
    </row>
    <row r="36" spans="1:36" ht="21" customHeight="1" outlineLevel="1" x14ac:dyDescent="0.35">
      <c r="A36" s="41" t="s">
        <v>978</v>
      </c>
      <c r="B36" s="37"/>
      <c r="C36" s="37"/>
      <c r="D36" s="37"/>
      <c r="E36" s="15"/>
      <c r="F36" s="15"/>
      <c r="G36" s="15"/>
      <c r="H36" s="15"/>
      <c r="I36" s="15"/>
      <c r="J36" s="15"/>
      <c r="K36" s="15"/>
      <c r="L36" s="15"/>
      <c r="M36" s="15"/>
      <c r="N36" s="15"/>
      <c r="O36" s="15"/>
      <c r="P36" s="15"/>
      <c r="Q36" s="15"/>
      <c r="R36" s="15"/>
      <c r="S36" s="15"/>
      <c r="T36" s="15"/>
      <c r="U36" s="130"/>
      <c r="V36" s="54">
        <v>312</v>
      </c>
      <c r="W36" s="225" t="s">
        <v>770</v>
      </c>
      <c r="X36" s="953">
        <f>SUM(X37:AA37)</f>
        <v>0</v>
      </c>
      <c r="Y36" s="954"/>
      <c r="Z36" s="954"/>
      <c r="AA36" s="954"/>
      <c r="AB36" s="130"/>
      <c r="AC36" s="226">
        <v>362</v>
      </c>
      <c r="AD36" s="74" t="s">
        <v>770</v>
      </c>
      <c r="AE36" s="953">
        <f>SUM(AE37:AH37)</f>
        <v>0</v>
      </c>
      <c r="AF36" s="954"/>
      <c r="AG36" s="954"/>
      <c r="AH36" s="954"/>
      <c r="AI36" s="14"/>
      <c r="AJ36" s="270"/>
    </row>
    <row r="37" spans="1:36" ht="21" hidden="1" customHeight="1" outlineLevel="2" x14ac:dyDescent="0.35">
      <c r="A37" s="247"/>
      <c r="B37" s="37"/>
      <c r="C37" s="37"/>
      <c r="D37" s="37"/>
      <c r="E37" s="15"/>
      <c r="F37" s="15"/>
      <c r="G37" s="15"/>
      <c r="H37" s="15"/>
      <c r="I37" s="15"/>
      <c r="J37" s="15"/>
      <c r="K37" s="15"/>
      <c r="L37" s="15"/>
      <c r="M37" s="15"/>
      <c r="N37" s="15"/>
      <c r="O37" s="15"/>
      <c r="P37" s="15"/>
      <c r="Q37" s="15"/>
      <c r="R37" s="15"/>
      <c r="S37" s="15"/>
      <c r="T37" s="15"/>
      <c r="U37" s="245" t="s">
        <v>95</v>
      </c>
      <c r="V37" s="246">
        <v>312</v>
      </c>
      <c r="W37" s="225"/>
      <c r="X37" s="953">
        <f>+SUMIFS(COMPRAS!BG:BG,COMPRAS!BF:BF,V37,COMPRAS!DD:DD,"SI")+SUMIFS(COMPRAS!BP:BP,COMPRAS!BO:BO,V37,COMPRAS!DD:DD,"SI")+SUMIFS(COMPRAS!BY:BY,COMPRAS!BX:BX,V37,COMPRAS!DD:DD,"SI")</f>
        <v>0</v>
      </c>
      <c r="Y37" s="954"/>
      <c r="Z37" s="954"/>
      <c r="AA37" s="954"/>
      <c r="AB37" s="130"/>
      <c r="AC37" s="226"/>
      <c r="AD37" s="74"/>
      <c r="AE37" s="953">
        <f>SUMIFS(COMPRAS!BI:BI,COMPRAS!BF:BF,V37,COMPRAS!DD:DD,"SI")+SUMIFS(COMPRAS!BR:BR,COMPRAS!BO:BO,V37,COMPRAS!DD:DD,"SI")+SUMIFS(COMPRAS!CA:CA,COMPRAS!BX:BX,V37,COMPRAS!DD:DD,"SI")</f>
        <v>0</v>
      </c>
      <c r="AF37" s="954"/>
      <c r="AG37" s="954"/>
      <c r="AH37" s="954"/>
      <c r="AI37" s="14"/>
    </row>
    <row r="38" spans="1:36" ht="21" customHeight="1" outlineLevel="1" collapsed="1" x14ac:dyDescent="0.35">
      <c r="A38" s="41" t="s">
        <v>940</v>
      </c>
      <c r="B38" s="15"/>
      <c r="C38" s="15"/>
      <c r="D38" s="15"/>
      <c r="E38" s="15"/>
      <c r="F38" s="15"/>
      <c r="G38" s="15"/>
      <c r="H38" s="15"/>
      <c r="I38" s="15"/>
      <c r="J38" s="15"/>
      <c r="K38" s="15"/>
      <c r="L38" s="15"/>
      <c r="M38" s="15"/>
      <c r="N38" s="15"/>
      <c r="O38" s="15"/>
      <c r="P38" s="15"/>
      <c r="Q38" s="15"/>
      <c r="R38" s="15"/>
      <c r="S38" s="15"/>
      <c r="T38" s="15"/>
      <c r="U38" s="130"/>
      <c r="V38" s="54">
        <v>322</v>
      </c>
      <c r="W38" s="225" t="s">
        <v>770</v>
      </c>
      <c r="X38" s="953">
        <f>+SUMIFS(COMPRAS!BG:BG,COMPRAS!BF:BF,V38,COMPRAS!DD:DD,"SI")+SUMIFS(COMPRAS!BP:BP,COMPRAS!BO:BO,V38,COMPRAS!DD:DD,"SI")+SUMIFS(COMPRAS!BY:BY,COMPRAS!BX:BX,V38,COMPRAS!DD:DD,"SI")</f>
        <v>0</v>
      </c>
      <c r="Y38" s="954"/>
      <c r="Z38" s="954"/>
      <c r="AA38" s="954"/>
      <c r="AB38" s="130"/>
      <c r="AC38" s="111">
        <v>372</v>
      </c>
      <c r="AD38" s="74" t="s">
        <v>770</v>
      </c>
      <c r="AE38" s="953">
        <f>SUMIFS(COMPRAS!BI:BI,COMPRAS!BF:BF,V38,COMPRAS!DD:DD,"SI")+SUMIFS(COMPRAS!BR:BR,COMPRAS!BO:BO,V38,COMPRAS!DD:DD,"SI")+SUMIFS(COMPRAS!CA:CA,COMPRAS!BX:BX,V38,COMPRAS!DD:DD,"SI")</f>
        <v>0</v>
      </c>
      <c r="AF38" s="954"/>
      <c r="AG38" s="954"/>
      <c r="AH38" s="954"/>
      <c r="AI38" s="14"/>
      <c r="AJ38" s="270"/>
    </row>
    <row r="39" spans="1:36" ht="21" customHeight="1" outlineLevel="1" x14ac:dyDescent="0.35">
      <c r="A39" s="832" t="s">
        <v>2254</v>
      </c>
      <c r="B39" s="37"/>
      <c r="C39" s="37"/>
      <c r="D39" s="37"/>
      <c r="E39" s="15"/>
      <c r="F39" s="15"/>
      <c r="G39" s="15"/>
      <c r="H39" s="15"/>
      <c r="I39" s="15"/>
      <c r="J39" s="15"/>
      <c r="K39" s="15"/>
      <c r="L39" s="15"/>
      <c r="M39" s="15"/>
      <c r="N39" s="15"/>
      <c r="O39" s="15"/>
      <c r="P39" s="15"/>
      <c r="Q39" s="15"/>
      <c r="R39" s="15"/>
      <c r="S39" s="15"/>
      <c r="T39" s="15"/>
      <c r="U39" s="130"/>
      <c r="V39" s="54">
        <v>3120</v>
      </c>
      <c r="W39" s="225" t="s">
        <v>770</v>
      </c>
      <c r="X39" s="953">
        <f>SUM(X40:AA40)</f>
        <v>0</v>
      </c>
      <c r="Y39" s="954"/>
      <c r="Z39" s="954"/>
      <c r="AA39" s="954"/>
      <c r="AB39" s="130"/>
      <c r="AC39" s="226">
        <v>3620</v>
      </c>
      <c r="AD39" s="74" t="s">
        <v>770</v>
      </c>
      <c r="AE39" s="953">
        <f>SUM(AE40:AH40)</f>
        <v>0</v>
      </c>
      <c r="AF39" s="954"/>
      <c r="AG39" s="954"/>
      <c r="AH39" s="954"/>
      <c r="AI39" s="14"/>
      <c r="AJ39" s="270"/>
    </row>
    <row r="40" spans="1:36" ht="21" hidden="1" customHeight="1" outlineLevel="2" x14ac:dyDescent="0.35">
      <c r="A40" s="247"/>
      <c r="B40" s="37"/>
      <c r="C40" s="37"/>
      <c r="D40" s="37"/>
      <c r="E40" s="15"/>
      <c r="F40" s="15"/>
      <c r="G40" s="15"/>
      <c r="H40" s="15"/>
      <c r="I40" s="15"/>
      <c r="J40" s="15"/>
      <c r="K40" s="15"/>
      <c r="L40" s="15"/>
      <c r="M40" s="15"/>
      <c r="N40" s="15"/>
      <c r="O40" s="15"/>
      <c r="P40" s="15"/>
      <c r="Q40" s="15"/>
      <c r="R40" s="15"/>
      <c r="S40" s="15"/>
      <c r="T40" s="15"/>
      <c r="U40" s="245" t="s">
        <v>2235</v>
      </c>
      <c r="V40" s="246" t="s">
        <v>96</v>
      </c>
      <c r="W40" s="225"/>
      <c r="X40" s="953">
        <f>+SUMIFS(COMPRAS!BG:BG,COMPRAS!BF:BF,V40,COMPRAS!DD:DD,"SI")+SUMIFS(COMPRAS!BP:BP,COMPRAS!BO:BO,V40,COMPRAS!DD:DD,"SI")+SUMIFS(COMPRAS!BY:BY,COMPRAS!BX:BX,V40,COMPRAS!DD:DD,"SI")</f>
        <v>0</v>
      </c>
      <c r="Y40" s="954"/>
      <c r="Z40" s="954"/>
      <c r="AA40" s="954"/>
      <c r="AB40" s="130"/>
      <c r="AC40" s="226"/>
      <c r="AD40" s="74"/>
      <c r="AE40" s="953">
        <f>SUMIFS(COMPRAS!BI:BI,COMPRAS!BF:BF,V40,COMPRAS!DD:DD,"SI")+SUMIFS(COMPRAS!BR:BR,COMPRAS!BO:BO,V40,COMPRAS!DD:DD,"SI")+SUMIFS(COMPRAS!CA:CA,COMPRAS!BX:BX,V40,COMPRAS!DD:DD,"SI")</f>
        <v>0</v>
      </c>
      <c r="AF40" s="954"/>
      <c r="AG40" s="954"/>
      <c r="AH40" s="954"/>
      <c r="AI40" s="14"/>
    </row>
    <row r="41" spans="1:36" ht="21" customHeight="1" outlineLevel="1" collapsed="1" x14ac:dyDescent="0.35">
      <c r="A41" s="832" t="s">
        <v>2253</v>
      </c>
      <c r="B41" s="37"/>
      <c r="C41" s="37"/>
      <c r="D41" s="37"/>
      <c r="E41" s="15"/>
      <c r="F41" s="15"/>
      <c r="G41" s="15"/>
      <c r="H41" s="15"/>
      <c r="I41" s="15"/>
      <c r="J41" s="15"/>
      <c r="K41" s="15"/>
      <c r="L41" s="15"/>
      <c r="M41" s="15"/>
      <c r="N41" s="15"/>
      <c r="O41" s="15"/>
      <c r="P41" s="15"/>
      <c r="Q41" s="15"/>
      <c r="R41" s="15"/>
      <c r="S41" s="15"/>
      <c r="T41" s="15"/>
      <c r="U41" s="130"/>
      <c r="V41" s="54">
        <v>3121</v>
      </c>
      <c r="W41" s="225" t="s">
        <v>770</v>
      </c>
      <c r="X41" s="953">
        <f>SUM(X42:AA42)</f>
        <v>0</v>
      </c>
      <c r="Y41" s="954"/>
      <c r="Z41" s="954"/>
      <c r="AA41" s="954"/>
      <c r="AB41" s="130"/>
      <c r="AC41" s="226">
        <v>3621</v>
      </c>
      <c r="AD41" s="74" t="s">
        <v>770</v>
      </c>
      <c r="AE41" s="953">
        <f>SUM(AE42:AH42)</f>
        <v>0</v>
      </c>
      <c r="AF41" s="954"/>
      <c r="AG41" s="954"/>
      <c r="AH41" s="954"/>
      <c r="AI41" s="14"/>
      <c r="AJ41" s="270"/>
    </row>
    <row r="42" spans="1:36" ht="21" hidden="1" customHeight="1" outlineLevel="2" x14ac:dyDescent="0.35">
      <c r="A42" s="247"/>
      <c r="B42" s="37"/>
      <c r="C42" s="37"/>
      <c r="D42" s="37"/>
      <c r="E42" s="15"/>
      <c r="F42" s="15"/>
      <c r="G42" s="15"/>
      <c r="H42" s="15"/>
      <c r="I42" s="15"/>
      <c r="J42" s="15"/>
      <c r="K42" s="15"/>
      <c r="L42" s="15"/>
      <c r="M42" s="15"/>
      <c r="N42" s="15"/>
      <c r="O42" s="15"/>
      <c r="P42" s="15"/>
      <c r="Q42" s="15"/>
      <c r="R42" s="15"/>
      <c r="S42" s="15"/>
      <c r="T42" s="15"/>
      <c r="U42" s="245" t="s">
        <v>2223</v>
      </c>
      <c r="V42" s="246" t="s">
        <v>2214</v>
      </c>
      <c r="W42" s="225"/>
      <c r="X42" s="953">
        <f>+SUMIFS(COMPRAS!BG:BG,COMPRAS!BF:BF,V42,COMPRAS!DD:DD,"SI")+SUMIFS(COMPRAS!BP:BP,COMPRAS!BO:BO,V42,COMPRAS!DD:DD,"SI")+SUMIFS(COMPRAS!BY:BY,COMPRAS!BX:BX,V42,COMPRAS!DD:DD,"SI")</f>
        <v>0</v>
      </c>
      <c r="Y42" s="954"/>
      <c r="Z42" s="954"/>
      <c r="AA42" s="954"/>
      <c r="AB42" s="130"/>
      <c r="AC42" s="226"/>
      <c r="AD42" s="74"/>
      <c r="AE42" s="953">
        <f>SUMIFS(COMPRAS!BI:BI,COMPRAS!BF:BF,V42,COMPRAS!DD:DD,"SI")+SUMIFS(COMPRAS!BR:BR,COMPRAS!BO:BO,V42,COMPRAS!DD:DD,"SI")+SUMIFS(COMPRAS!CA:CA,COMPRAS!BX:BX,V42,COMPRAS!DD:DD,"SI")</f>
        <v>0</v>
      </c>
      <c r="AF42" s="954"/>
      <c r="AG42" s="954"/>
      <c r="AH42" s="954"/>
      <c r="AI42" s="14"/>
    </row>
    <row r="43" spans="1:36" ht="21" customHeight="1" outlineLevel="1" collapsed="1" x14ac:dyDescent="0.35">
      <c r="A43" s="832" t="s">
        <v>2249</v>
      </c>
      <c r="B43" s="37"/>
      <c r="C43" s="37"/>
      <c r="D43" s="37"/>
      <c r="E43" s="15"/>
      <c r="F43" s="15"/>
      <c r="G43" s="15"/>
      <c r="H43" s="15"/>
      <c r="I43" s="15"/>
      <c r="J43" s="15"/>
      <c r="K43" s="15"/>
      <c r="L43" s="15"/>
      <c r="M43" s="15"/>
      <c r="N43" s="15"/>
      <c r="O43" s="15"/>
      <c r="P43" s="15"/>
      <c r="Q43" s="15"/>
      <c r="R43" s="15"/>
      <c r="S43" s="15"/>
      <c r="T43" s="15"/>
      <c r="U43" s="130"/>
      <c r="V43" s="54">
        <v>3430</v>
      </c>
      <c r="W43" s="225" t="s">
        <v>770</v>
      </c>
      <c r="X43" s="953">
        <f>SUM(X44:AA44)</f>
        <v>0</v>
      </c>
      <c r="Y43" s="954"/>
      <c r="Z43" s="954"/>
      <c r="AA43" s="954"/>
      <c r="AB43" s="130"/>
      <c r="AC43" s="226">
        <v>3450</v>
      </c>
      <c r="AD43" s="74" t="s">
        <v>770</v>
      </c>
      <c r="AE43" s="953">
        <f>SUM(AE44:AH44)</f>
        <v>0</v>
      </c>
      <c r="AF43" s="954"/>
      <c r="AG43" s="954"/>
      <c r="AH43" s="954"/>
      <c r="AI43" s="14"/>
      <c r="AJ43" s="270"/>
    </row>
    <row r="44" spans="1:36" ht="21" hidden="1" customHeight="1" outlineLevel="2" x14ac:dyDescent="0.35">
      <c r="A44" s="247"/>
      <c r="B44" s="37"/>
      <c r="C44" s="37"/>
      <c r="D44" s="37"/>
      <c r="E44" s="15"/>
      <c r="F44" s="15"/>
      <c r="G44" s="15"/>
      <c r="H44" s="15"/>
      <c r="I44" s="15"/>
      <c r="J44" s="15"/>
      <c r="K44" s="15"/>
      <c r="L44" s="15"/>
      <c r="M44" s="15"/>
      <c r="N44" s="15"/>
      <c r="O44" s="15"/>
      <c r="P44" s="15"/>
      <c r="Q44" s="15"/>
      <c r="R44" s="15"/>
      <c r="S44" s="15"/>
      <c r="T44" s="15"/>
      <c r="U44" s="229" t="s">
        <v>168</v>
      </c>
      <c r="V44" s="228" t="s">
        <v>167</v>
      </c>
      <c r="W44" s="225"/>
      <c r="X44" s="953">
        <f>+SUMIFS(COMPRAS!BG:BG,COMPRAS!BF:BF,V44,COMPRAS!DD:DD,"SI")+SUMIFS(COMPRAS!BP:BP,COMPRAS!BO:BO,V44,COMPRAS!DD:DD,"SI")+SUMIFS(COMPRAS!BY:BY,COMPRAS!BX:BX,V44,COMPRAS!DD:DD,"SI")</f>
        <v>0</v>
      </c>
      <c r="Y44" s="954"/>
      <c r="Z44" s="954"/>
      <c r="AA44" s="954"/>
      <c r="AB44" s="130"/>
      <c r="AC44" s="226"/>
      <c r="AD44" s="74"/>
      <c r="AE44" s="953">
        <f>SUMIFS(COMPRAS!BI:BI,COMPRAS!BF:BF,V44,COMPRAS!DD:DD,"SI")+SUMIFS(COMPRAS!BR:BR,COMPRAS!BO:BO,V44,COMPRAS!DD:DD,"SI")+SUMIFS(COMPRAS!CA:CA,COMPRAS!BX:BX,V44,COMPRAS!DD:DD,"SI")</f>
        <v>0</v>
      </c>
      <c r="AF44" s="954"/>
      <c r="AG44" s="954"/>
      <c r="AH44" s="954"/>
      <c r="AI44" s="14"/>
    </row>
    <row r="45" spans="1:36" ht="21" customHeight="1" outlineLevel="1" collapsed="1" x14ac:dyDescent="0.35">
      <c r="A45" s="832" t="s">
        <v>2251</v>
      </c>
      <c r="B45" s="37"/>
      <c r="C45" s="37"/>
      <c r="D45" s="37"/>
      <c r="E45" s="37"/>
      <c r="F45" s="37"/>
      <c r="G45" s="37"/>
      <c r="H45" s="37"/>
      <c r="I45" s="37"/>
      <c r="J45" s="37"/>
      <c r="K45" s="37"/>
      <c r="L45" s="37"/>
      <c r="M45" s="37"/>
      <c r="N45" s="37"/>
      <c r="O45" s="37"/>
      <c r="P45" s="37"/>
      <c r="Q45" s="37"/>
      <c r="R45" s="37"/>
      <c r="S45" s="37"/>
      <c r="T45" s="37"/>
      <c r="U45" s="242"/>
      <c r="V45" s="54">
        <v>343</v>
      </c>
      <c r="W45" s="53" t="s">
        <v>770</v>
      </c>
      <c r="X45" s="953">
        <f>SUM(X46:AA48)</f>
        <v>0</v>
      </c>
      <c r="Y45" s="954"/>
      <c r="Z45" s="954"/>
      <c r="AA45" s="954"/>
      <c r="AB45" s="130"/>
      <c r="AC45" s="226">
        <v>393</v>
      </c>
      <c r="AD45" s="74" t="s">
        <v>770</v>
      </c>
      <c r="AE45" s="953">
        <f>SUM(AE46:AH48)</f>
        <v>0</v>
      </c>
      <c r="AF45" s="954"/>
      <c r="AG45" s="954"/>
      <c r="AH45" s="954"/>
      <c r="AI45" s="14"/>
      <c r="AJ45" s="270"/>
    </row>
    <row r="46" spans="1:36" ht="21" hidden="1" customHeight="1" outlineLevel="2" x14ac:dyDescent="0.35">
      <c r="A46" s="832"/>
      <c r="B46" s="37"/>
      <c r="C46" s="37"/>
      <c r="D46" s="37"/>
      <c r="E46" s="37"/>
      <c r="F46" s="37"/>
      <c r="G46" s="37"/>
      <c r="H46" s="37"/>
      <c r="I46" s="37"/>
      <c r="J46" s="37"/>
      <c r="K46" s="37"/>
      <c r="L46" s="37"/>
      <c r="M46" s="37"/>
      <c r="N46" s="37"/>
      <c r="O46" s="37"/>
      <c r="P46" s="37"/>
      <c r="Q46" s="37"/>
      <c r="R46" s="37"/>
      <c r="S46" s="37"/>
      <c r="T46" s="37"/>
      <c r="U46" s="229" t="s">
        <v>1051</v>
      </c>
      <c r="V46" s="228">
        <v>343</v>
      </c>
      <c r="W46" s="74"/>
      <c r="X46" s="953">
        <f>+SUMIFS(COMPRAS!BG:BG,COMPRAS!BF:BF,V46,COMPRAS!DD:DD,"SI")+SUMIFS(COMPRAS!BP:BP,COMPRAS!BO:BO,V46,COMPRAS!DD:DD,"SI")+SUMIFS(COMPRAS!BY:BY,COMPRAS!BX:BX,V46,COMPRAS!DD:DD,"SI")</f>
        <v>0</v>
      </c>
      <c r="Y46" s="954"/>
      <c r="Z46" s="954"/>
      <c r="AA46" s="954"/>
      <c r="AB46" s="130"/>
      <c r="AC46" s="226"/>
      <c r="AD46" s="74"/>
      <c r="AE46" s="953">
        <f>SUMIFS(COMPRAS!BI:BI,COMPRAS!BF:BF,V46,COMPRAS!DD:DD,"SI")+SUMIFS(COMPRAS!BR:BR,COMPRAS!BO:BO,V46,COMPRAS!DD:DD,"SI")+SUMIFS(COMPRAS!CA:CA,COMPRAS!BX:BX,V46,COMPRAS!DD:DD,"SI")</f>
        <v>0</v>
      </c>
      <c r="AF46" s="954"/>
      <c r="AG46" s="954"/>
      <c r="AH46" s="954"/>
      <c r="AI46" s="14"/>
    </row>
    <row r="47" spans="1:36" ht="21" hidden="1" customHeight="1" outlineLevel="2" x14ac:dyDescent="0.35">
      <c r="A47" s="832"/>
      <c r="B47" s="37"/>
      <c r="C47" s="37"/>
      <c r="D47" s="37"/>
      <c r="E47" s="37"/>
      <c r="F47" s="37"/>
      <c r="G47" s="37"/>
      <c r="H47" s="37"/>
      <c r="I47" s="37"/>
      <c r="J47" s="37"/>
      <c r="K47" s="37"/>
      <c r="L47" s="37"/>
      <c r="M47" s="37"/>
      <c r="N47" s="37"/>
      <c r="O47" s="37"/>
      <c r="P47" s="37"/>
      <c r="Q47" s="37"/>
      <c r="R47" s="37"/>
      <c r="S47" s="37"/>
      <c r="T47" s="37"/>
      <c r="U47" s="229" t="s">
        <v>166</v>
      </c>
      <c r="V47" s="228" t="s">
        <v>165</v>
      </c>
      <c r="W47" s="74"/>
      <c r="X47" s="953">
        <f>+SUMIFS(COMPRAS!BG:BG,COMPRAS!BF:BF,V47,COMPRAS!DD:DD,"SI")+SUMIFS(COMPRAS!BP:BP,COMPRAS!BO:BO,V47,COMPRAS!DD:DD,"SI")+SUMIFS(COMPRAS!BY:BY,COMPRAS!BX:BX,V47,COMPRAS!DD:DD,"SI")</f>
        <v>0</v>
      </c>
      <c r="Y47" s="954"/>
      <c r="Z47" s="954"/>
      <c r="AA47" s="954"/>
      <c r="AB47" s="130"/>
      <c r="AC47" s="226"/>
      <c r="AD47" s="74"/>
      <c r="AE47" s="953">
        <f>SUMIFS(COMPRAS!BI:BI,COMPRAS!BF:BF,V47,COMPRAS!DD:DD,"SI")+SUMIFS(COMPRAS!BR:BR,COMPRAS!BO:BO,V47,COMPRAS!DD:DD,"SI")+SUMIFS(COMPRAS!CA:CA,COMPRAS!BX:BX,V47,COMPRAS!DD:DD,"SI")</f>
        <v>0</v>
      </c>
      <c r="AF47" s="954"/>
      <c r="AG47" s="954"/>
      <c r="AH47" s="954"/>
      <c r="AI47" s="14"/>
    </row>
    <row r="48" spans="1:36" ht="21" hidden="1" customHeight="1" outlineLevel="2" x14ac:dyDescent="0.35">
      <c r="A48" s="832"/>
      <c r="B48" s="37"/>
      <c r="C48" s="37"/>
      <c r="D48" s="37"/>
      <c r="E48" s="37"/>
      <c r="F48" s="37"/>
      <c r="G48" s="37"/>
      <c r="H48" s="37"/>
      <c r="I48" s="37"/>
      <c r="J48" s="37"/>
      <c r="K48" s="37"/>
      <c r="L48" s="37"/>
      <c r="M48" s="37"/>
      <c r="N48" s="37"/>
      <c r="O48" s="37"/>
      <c r="P48" s="37"/>
      <c r="Q48" s="37"/>
      <c r="R48" s="37"/>
      <c r="S48" s="37"/>
      <c r="T48" s="37"/>
      <c r="U48" s="229" t="s">
        <v>1053</v>
      </c>
      <c r="V48" s="228" t="s">
        <v>1052</v>
      </c>
      <c r="W48" s="74"/>
      <c r="X48" s="953">
        <f>+SUMIFS(COMPRAS!BG:BG,COMPRAS!BF:BF,V48,COMPRAS!DD:DD,"SI")+SUMIFS(COMPRAS!BP:BP,COMPRAS!BO:BO,V48,COMPRAS!DD:DD,"SI")+SUMIFS(COMPRAS!BY:BY,COMPRAS!BX:BX,V48,COMPRAS!DD:DD,"SI")</f>
        <v>0</v>
      </c>
      <c r="Y48" s="954"/>
      <c r="Z48" s="954"/>
      <c r="AA48" s="954"/>
      <c r="AB48" s="130"/>
      <c r="AC48" s="226"/>
      <c r="AD48" s="74"/>
      <c r="AE48" s="953">
        <f>SUMIFS(COMPRAS!BI:BI,COMPRAS!BF:BF,V48,COMPRAS!DD:DD,"SI")+SUMIFS(COMPRAS!BR:BR,COMPRAS!BO:BO,V48,COMPRAS!DD:DD,"SI")+SUMIFS(COMPRAS!CA:CA,COMPRAS!BX:BX,V48,COMPRAS!DD:DD,"SI")</f>
        <v>0</v>
      </c>
      <c r="AF48" s="954"/>
      <c r="AG48" s="954"/>
      <c r="AH48" s="954"/>
      <c r="AI48" s="14"/>
    </row>
    <row r="49" spans="1:36" ht="21" customHeight="1" outlineLevel="1" collapsed="1" x14ac:dyDescent="0.35">
      <c r="A49" s="832" t="s">
        <v>2250</v>
      </c>
      <c r="B49" s="37"/>
      <c r="C49" s="37"/>
      <c r="D49" s="37"/>
      <c r="E49" s="37"/>
      <c r="F49" s="37"/>
      <c r="G49" s="37"/>
      <c r="H49" s="37"/>
      <c r="I49" s="37"/>
      <c r="J49" s="37"/>
      <c r="K49" s="37"/>
      <c r="L49" s="37"/>
      <c r="M49" s="37"/>
      <c r="N49" s="37"/>
      <c r="O49" s="37"/>
      <c r="P49" s="37"/>
      <c r="Q49" s="37"/>
      <c r="R49" s="37"/>
      <c r="S49" s="37"/>
      <c r="T49" s="37"/>
      <c r="U49" s="242"/>
      <c r="V49" s="54">
        <v>344</v>
      </c>
      <c r="W49" s="74" t="s">
        <v>770</v>
      </c>
      <c r="X49" s="953">
        <f>SUM(X50:AA52)</f>
        <v>0</v>
      </c>
      <c r="Y49" s="954"/>
      <c r="Z49" s="954"/>
      <c r="AA49" s="954"/>
      <c r="AB49" s="130"/>
      <c r="AC49" s="111">
        <v>394</v>
      </c>
      <c r="AD49" s="74" t="s">
        <v>770</v>
      </c>
      <c r="AE49" s="953">
        <f>SUM(AE50:AH52)</f>
        <v>0</v>
      </c>
      <c r="AF49" s="954"/>
      <c r="AG49" s="954"/>
      <c r="AH49" s="954"/>
      <c r="AI49" s="14"/>
      <c r="AJ49" s="270"/>
    </row>
    <row r="50" spans="1:36" ht="21" hidden="1" customHeight="1" outlineLevel="2" x14ac:dyDescent="0.35">
      <c r="A50" s="832"/>
      <c r="B50" s="37"/>
      <c r="C50" s="37"/>
      <c r="D50" s="37"/>
      <c r="E50" s="37"/>
      <c r="F50" s="37"/>
      <c r="G50" s="37"/>
      <c r="H50" s="37"/>
      <c r="I50" s="37"/>
      <c r="J50" s="37"/>
      <c r="K50" s="37"/>
      <c r="L50" s="37"/>
      <c r="M50" s="37"/>
      <c r="N50" s="37"/>
      <c r="O50" s="37"/>
      <c r="P50" s="37"/>
      <c r="Q50" s="37"/>
      <c r="R50" s="37"/>
      <c r="S50" s="37"/>
      <c r="T50" s="37"/>
      <c r="U50" s="229" t="s">
        <v>169</v>
      </c>
      <c r="V50" s="228">
        <v>344</v>
      </c>
      <c r="W50" s="74"/>
      <c r="X50" s="953">
        <f>+SUMIFS(COMPRAS!BG:BG,COMPRAS!BF:BF,V50,COMPRAS!DD:DD,"SI")+SUMIFS(COMPRAS!BP:BP,COMPRAS!BO:BO,V50,COMPRAS!DD:DD,"SI")+SUMIFS(COMPRAS!BY:BY,COMPRAS!BX:BX,V50,COMPRAS!DD:DD,"SI")</f>
        <v>0</v>
      </c>
      <c r="Y50" s="954"/>
      <c r="Z50" s="954"/>
      <c r="AA50" s="954"/>
      <c r="AB50" s="130"/>
      <c r="AC50" s="226"/>
      <c r="AD50" s="74"/>
      <c r="AE50" s="953">
        <f>SUMIFS(COMPRAS!BI:BI,COMPRAS!BF:BF,V50,COMPRAS!DD:DD,"SI")+SUMIFS(COMPRAS!BR:BR,COMPRAS!BO:BO,V50,COMPRAS!DD:DD,"SI")+SUMIFS(COMPRAS!CA:CA,COMPRAS!BX:BX,V50,COMPRAS!DD:DD,"SI")</f>
        <v>0</v>
      </c>
      <c r="AF50" s="954"/>
      <c r="AG50" s="954"/>
      <c r="AH50" s="954"/>
      <c r="AI50" s="14"/>
    </row>
    <row r="51" spans="1:36" ht="21" hidden="1" customHeight="1" outlineLevel="2" x14ac:dyDescent="0.35">
      <c r="A51" s="832"/>
      <c r="B51" s="37"/>
      <c r="C51" s="37"/>
      <c r="D51" s="37"/>
      <c r="E51" s="37"/>
      <c r="F51" s="37"/>
      <c r="G51" s="37"/>
      <c r="H51" s="37"/>
      <c r="I51" s="37"/>
      <c r="J51" s="37"/>
      <c r="K51" s="37"/>
      <c r="L51" s="37"/>
      <c r="M51" s="37"/>
      <c r="N51" s="37"/>
      <c r="O51" s="37"/>
      <c r="P51" s="37"/>
      <c r="Q51" s="37"/>
      <c r="R51" s="37"/>
      <c r="S51" s="37"/>
      <c r="T51" s="37"/>
      <c r="U51" s="229" t="s">
        <v>171</v>
      </c>
      <c r="V51" s="228" t="s">
        <v>170</v>
      </c>
      <c r="W51" s="74"/>
      <c r="X51" s="953">
        <f>+SUMIFS(COMPRAS!BG:BG,COMPRAS!BF:BF,V51,COMPRAS!DD:DD,"SI")+SUMIFS(COMPRAS!BP:BP,COMPRAS!BO:BO,V51,COMPRAS!DD:DD,"SI")+SUMIFS(COMPRAS!BY:BY,COMPRAS!BX:BX,V51,COMPRAS!DD:DD,"SI")</f>
        <v>0</v>
      </c>
      <c r="Y51" s="954"/>
      <c r="Z51" s="954"/>
      <c r="AA51" s="954"/>
      <c r="AB51" s="130"/>
      <c r="AC51" s="226"/>
      <c r="AD51" s="74"/>
      <c r="AE51" s="953">
        <f>SUMIFS(COMPRAS!BI:BI,COMPRAS!BF:BF,V51,COMPRAS!DD:DD,"SI")+SUMIFS(COMPRAS!BR:BR,COMPRAS!BO:BO,V51,COMPRAS!DD:DD,"SI")+SUMIFS(COMPRAS!CA:CA,COMPRAS!BX:BX,V51,COMPRAS!DD:DD,"SI")</f>
        <v>0</v>
      </c>
      <c r="AF51" s="954"/>
      <c r="AG51" s="954"/>
      <c r="AH51" s="954"/>
      <c r="AI51" s="14"/>
    </row>
    <row r="52" spans="1:36" ht="21" hidden="1" customHeight="1" outlineLevel="2" x14ac:dyDescent="0.35">
      <c r="A52" s="832"/>
      <c r="B52" s="37"/>
      <c r="C52" s="37"/>
      <c r="D52" s="37"/>
      <c r="E52" s="37"/>
      <c r="F52" s="37"/>
      <c r="G52" s="37"/>
      <c r="H52" s="37"/>
      <c r="I52" s="37"/>
      <c r="J52" s="37"/>
      <c r="K52" s="37"/>
      <c r="L52" s="37"/>
      <c r="M52" s="37"/>
      <c r="N52" s="37"/>
      <c r="O52" s="37"/>
      <c r="P52" s="37"/>
      <c r="Q52" s="37"/>
      <c r="R52" s="37"/>
      <c r="S52" s="37"/>
      <c r="T52" s="37"/>
      <c r="U52" s="229" t="s">
        <v>1055</v>
      </c>
      <c r="V52" s="228" t="s">
        <v>1054</v>
      </c>
      <c r="W52" s="74"/>
      <c r="X52" s="953">
        <f>+SUMIFS(COMPRAS!BG:BG,COMPRAS!BF:BF,V52,COMPRAS!DD:DD,"SI")+SUMIFS(COMPRAS!BP:BP,COMPRAS!BO:BO,V52,COMPRAS!DD:DD,"SI")+SUMIFS(COMPRAS!BY:BY,COMPRAS!BX:BX,V52,COMPRAS!DD:DD,"SI")</f>
        <v>0</v>
      </c>
      <c r="Y52" s="954"/>
      <c r="Z52" s="954"/>
      <c r="AA52" s="954"/>
      <c r="AB52" s="130"/>
      <c r="AC52" s="226"/>
      <c r="AD52" s="74"/>
      <c r="AE52" s="953">
        <f>SUMIFS(COMPRAS!BI:BI,COMPRAS!BF:BF,V52,COMPRAS!DD:DD,"SI")+SUMIFS(COMPRAS!BR:BR,COMPRAS!BO:BO,V52,COMPRAS!DD:DD,"SI")+SUMIFS(COMPRAS!CA:CA,COMPRAS!BX:BX,V52,COMPRAS!DD:DD,"SI")</f>
        <v>0</v>
      </c>
      <c r="AF52" s="954"/>
      <c r="AG52" s="954"/>
      <c r="AH52" s="954"/>
      <c r="AI52" s="14"/>
    </row>
    <row r="53" spans="1:36" ht="21" customHeight="1" outlineLevel="1" collapsed="1" thickBot="1" x14ac:dyDescent="0.4">
      <c r="A53" s="248" t="s">
        <v>2252</v>
      </c>
      <c r="B53" s="37"/>
      <c r="C53" s="37"/>
      <c r="D53" s="37"/>
      <c r="E53" s="37"/>
      <c r="F53" s="37"/>
      <c r="G53" s="37"/>
      <c r="H53" s="37"/>
      <c r="I53" s="37"/>
      <c r="J53" s="37"/>
      <c r="K53" s="37"/>
      <c r="L53" s="37"/>
      <c r="M53" s="37"/>
      <c r="N53" s="37"/>
      <c r="O53" s="37"/>
      <c r="P53" s="37"/>
      <c r="Q53" s="37"/>
      <c r="R53" s="37"/>
      <c r="S53" s="37"/>
      <c r="T53" s="37"/>
      <c r="U53" s="242"/>
      <c r="V53" s="52">
        <v>332</v>
      </c>
      <c r="W53" s="225" t="s">
        <v>770</v>
      </c>
      <c r="X53" s="953">
        <f>SUM(X54:AA62)</f>
        <v>0</v>
      </c>
      <c r="Y53" s="954"/>
      <c r="Z53" s="954"/>
      <c r="AA53" s="954"/>
      <c r="AB53" s="130"/>
      <c r="AC53" s="960"/>
      <c r="AD53" s="961"/>
      <c r="AE53" s="961"/>
      <c r="AF53" s="961"/>
      <c r="AG53" s="961"/>
      <c r="AH53" s="961"/>
      <c r="AI53" s="962"/>
    </row>
    <row r="54" spans="1:36" ht="21" hidden="1" customHeight="1" outlineLevel="2" x14ac:dyDescent="0.35">
      <c r="A54" s="41"/>
      <c r="B54" s="15"/>
      <c r="C54" s="15"/>
      <c r="D54" s="15"/>
      <c r="E54" s="15"/>
      <c r="F54" s="15"/>
      <c r="G54" s="15"/>
      <c r="H54" s="15"/>
      <c r="I54" s="15"/>
      <c r="J54" s="15"/>
      <c r="K54" s="15"/>
      <c r="L54" s="15"/>
      <c r="M54" s="15"/>
      <c r="N54" s="15"/>
      <c r="O54" s="15"/>
      <c r="P54" s="15"/>
      <c r="Q54" s="15"/>
      <c r="R54" s="15"/>
      <c r="S54" s="15"/>
      <c r="T54" s="15"/>
      <c r="U54" s="245" t="s">
        <v>144</v>
      </c>
      <c r="V54" s="246">
        <v>332</v>
      </c>
      <c r="W54" s="225"/>
      <c r="X54" s="953">
        <f>+SUMIFS(COMPRAS!BG:BG,COMPRAS!BF:BF,V54,COMPRAS!DD:DD,"SI")+SUMIFS(COMPRAS!BP:BP,COMPRAS!BO:BO,V54,COMPRAS!DD:DD,"SI")+SUMIFS(COMPRAS!BY:BY,COMPRAS!BX:BX,V54,COMPRAS!DD:DD,"SI")</f>
        <v>0</v>
      </c>
      <c r="Y54" s="954"/>
      <c r="Z54" s="954"/>
      <c r="AA54" s="954"/>
      <c r="AB54" s="130"/>
      <c r="AC54" s="971"/>
      <c r="AD54" s="972"/>
      <c r="AE54" s="972"/>
      <c r="AF54" s="972"/>
      <c r="AG54" s="972"/>
      <c r="AH54" s="972"/>
      <c r="AI54" s="973"/>
    </row>
    <row r="55" spans="1:36" ht="21" hidden="1" customHeight="1" outlineLevel="2" x14ac:dyDescent="0.35">
      <c r="A55" s="41"/>
      <c r="B55" s="15"/>
      <c r="C55" s="15"/>
      <c r="D55" s="15"/>
      <c r="E55" s="15"/>
      <c r="F55" s="15"/>
      <c r="G55" s="15"/>
      <c r="H55" s="15"/>
      <c r="I55" s="15"/>
      <c r="J55" s="15"/>
      <c r="K55" s="15"/>
      <c r="L55" s="15"/>
      <c r="M55" s="15"/>
      <c r="N55" s="15"/>
      <c r="O55" s="15"/>
      <c r="P55" s="15"/>
      <c r="Q55" s="15"/>
      <c r="R55" s="15"/>
      <c r="S55" s="15"/>
      <c r="T55" s="15"/>
      <c r="U55" s="245" t="s">
        <v>146</v>
      </c>
      <c r="V55" s="246" t="s">
        <v>145</v>
      </c>
      <c r="W55" s="225"/>
      <c r="X55" s="953">
        <f>+SUMIFS(COMPRAS!BG:BG,COMPRAS!BF:BF,V55,COMPRAS!DD:DD,"SI")+SUMIFS(COMPRAS!BP:BP,COMPRAS!BO:BO,V55,COMPRAS!DD:DD,"SI")+SUMIFS(COMPRAS!BY:BY,COMPRAS!BX:BX,V55,COMPRAS!DD:DD,"SI")</f>
        <v>0</v>
      </c>
      <c r="Y55" s="954"/>
      <c r="Z55" s="954"/>
      <c r="AA55" s="954"/>
      <c r="AB55" s="130"/>
      <c r="AC55" s="971"/>
      <c r="AD55" s="972"/>
      <c r="AE55" s="972"/>
      <c r="AF55" s="972"/>
      <c r="AG55" s="972"/>
      <c r="AH55" s="972"/>
      <c r="AI55" s="973"/>
    </row>
    <row r="56" spans="1:36" ht="21" hidden="1" customHeight="1" outlineLevel="2" x14ac:dyDescent="0.35">
      <c r="A56" s="41"/>
      <c r="B56" s="15"/>
      <c r="C56" s="15"/>
      <c r="D56" s="15"/>
      <c r="E56" s="15"/>
      <c r="F56" s="15"/>
      <c r="G56" s="15"/>
      <c r="H56" s="15"/>
      <c r="I56" s="15"/>
      <c r="J56" s="15"/>
      <c r="K56" s="15"/>
      <c r="L56" s="15"/>
      <c r="M56" s="15"/>
      <c r="N56" s="15"/>
      <c r="O56" s="15"/>
      <c r="P56" s="15"/>
      <c r="Q56" s="15"/>
      <c r="R56" s="15"/>
      <c r="S56" s="15"/>
      <c r="T56" s="15"/>
      <c r="U56" s="245" t="s">
        <v>148</v>
      </c>
      <c r="V56" s="246" t="s">
        <v>147</v>
      </c>
      <c r="W56" s="225"/>
      <c r="X56" s="953">
        <f>+SUMIFS(COMPRAS!BG:BG,COMPRAS!BF:BF,V56,COMPRAS!DD:DD,"SI")+SUMIFS(COMPRAS!BP:BP,COMPRAS!BO:BO,V56,COMPRAS!DD:DD,"SI")+SUMIFS(COMPRAS!BY:BY,COMPRAS!BX:BX,V56,COMPRAS!DD:DD,"SI")</f>
        <v>0</v>
      </c>
      <c r="Y56" s="954"/>
      <c r="Z56" s="954"/>
      <c r="AA56" s="954"/>
      <c r="AB56" s="130"/>
      <c r="AC56" s="971"/>
      <c r="AD56" s="972"/>
      <c r="AE56" s="972"/>
      <c r="AF56" s="972"/>
      <c r="AG56" s="972"/>
      <c r="AH56" s="972"/>
      <c r="AI56" s="973"/>
    </row>
    <row r="57" spans="1:36" ht="21" hidden="1" customHeight="1" outlineLevel="2" x14ac:dyDescent="0.35">
      <c r="A57" s="41"/>
      <c r="B57" s="15"/>
      <c r="C57" s="15"/>
      <c r="D57" s="15"/>
      <c r="E57" s="15"/>
      <c r="F57" s="15"/>
      <c r="G57" s="15"/>
      <c r="H57" s="15"/>
      <c r="I57" s="15"/>
      <c r="J57" s="15"/>
      <c r="K57" s="15"/>
      <c r="L57" s="15"/>
      <c r="M57" s="15"/>
      <c r="N57" s="15"/>
      <c r="O57" s="15"/>
      <c r="P57" s="15"/>
      <c r="Q57" s="15"/>
      <c r="R57" s="15"/>
      <c r="S57" s="15"/>
      <c r="T57" s="15"/>
      <c r="U57" s="245" t="s">
        <v>150</v>
      </c>
      <c r="V57" s="246" t="s">
        <v>149</v>
      </c>
      <c r="W57" s="225"/>
      <c r="X57" s="953">
        <f>+SUMIFS(COMPRAS!BG:BG,COMPRAS!BF:BF,V57,COMPRAS!DD:DD,"SI")+SUMIFS(COMPRAS!BP:BP,COMPRAS!BO:BO,V57,COMPRAS!DD:DD,"SI")+SUMIFS(COMPRAS!BY:BY,COMPRAS!BX:BX,V57,COMPRAS!DD:DD,"SI")</f>
        <v>0</v>
      </c>
      <c r="Y57" s="954"/>
      <c r="Z57" s="954"/>
      <c r="AA57" s="954"/>
      <c r="AB57" s="130"/>
      <c r="AC57" s="971"/>
      <c r="AD57" s="972"/>
      <c r="AE57" s="972"/>
      <c r="AF57" s="972"/>
      <c r="AG57" s="972"/>
      <c r="AH57" s="972"/>
      <c r="AI57" s="973"/>
    </row>
    <row r="58" spans="1:36" ht="21" hidden="1" customHeight="1" outlineLevel="2" x14ac:dyDescent="0.35">
      <c r="A58" s="41"/>
      <c r="B58" s="15"/>
      <c r="C58" s="15"/>
      <c r="D58" s="15"/>
      <c r="E58" s="15"/>
      <c r="F58" s="15"/>
      <c r="G58" s="15"/>
      <c r="H58" s="15"/>
      <c r="I58" s="15"/>
      <c r="J58" s="15"/>
      <c r="K58" s="15"/>
      <c r="L58" s="15"/>
      <c r="M58" s="15"/>
      <c r="N58" s="15"/>
      <c r="O58" s="15"/>
      <c r="P58" s="15"/>
      <c r="Q58" s="15"/>
      <c r="R58" s="15"/>
      <c r="S58" s="15"/>
      <c r="T58" s="15"/>
      <c r="U58" s="245" t="s">
        <v>152</v>
      </c>
      <c r="V58" s="246" t="s">
        <v>151</v>
      </c>
      <c r="W58" s="225"/>
      <c r="X58" s="953">
        <f>+SUMIFS(COMPRAS!BG:BG,COMPRAS!BF:BF,V58,COMPRAS!DD:DD,"SI")+SUMIFS(COMPRAS!BP:BP,COMPRAS!BO:BO,V58,COMPRAS!DD:DD,"SI")+SUMIFS(COMPRAS!BY:BY,COMPRAS!BX:BX,V58,COMPRAS!DD:DD,"SI")</f>
        <v>0</v>
      </c>
      <c r="Y58" s="954"/>
      <c r="Z58" s="954"/>
      <c r="AA58" s="954"/>
      <c r="AB58" s="130"/>
      <c r="AC58" s="971"/>
      <c r="AD58" s="972"/>
      <c r="AE58" s="972"/>
      <c r="AF58" s="972"/>
      <c r="AG58" s="972"/>
      <c r="AH58" s="972"/>
      <c r="AI58" s="973"/>
    </row>
    <row r="59" spans="1:36" ht="21" hidden="1" customHeight="1" outlineLevel="2" x14ac:dyDescent="0.35">
      <c r="A59" s="41"/>
      <c r="B59" s="15"/>
      <c r="C59" s="15"/>
      <c r="D59" s="15"/>
      <c r="E59" s="15"/>
      <c r="F59" s="15"/>
      <c r="G59" s="15"/>
      <c r="H59" s="15"/>
      <c r="I59" s="15"/>
      <c r="J59" s="15"/>
      <c r="K59" s="15"/>
      <c r="L59" s="15"/>
      <c r="M59" s="15"/>
      <c r="N59" s="15"/>
      <c r="O59" s="15"/>
      <c r="P59" s="15"/>
      <c r="Q59" s="15"/>
      <c r="R59" s="15"/>
      <c r="S59" s="15"/>
      <c r="T59" s="15"/>
      <c r="U59" s="245" t="s">
        <v>154</v>
      </c>
      <c r="V59" s="246" t="s">
        <v>153</v>
      </c>
      <c r="W59" s="225"/>
      <c r="X59" s="953">
        <f>+SUMIFS(COMPRAS!BG:BG,COMPRAS!BF:BF,V59,COMPRAS!DD:DD,"SI")+SUMIFS(COMPRAS!BP:BP,COMPRAS!BO:BO,V59,COMPRAS!DD:DD,"SI")+SUMIFS(COMPRAS!BY:BY,COMPRAS!BX:BX,V59,COMPRAS!DD:DD,"SI")</f>
        <v>0</v>
      </c>
      <c r="Y59" s="954"/>
      <c r="Z59" s="954"/>
      <c r="AA59" s="954"/>
      <c r="AB59" s="130"/>
      <c r="AC59" s="971"/>
      <c r="AD59" s="972"/>
      <c r="AE59" s="972"/>
      <c r="AF59" s="972"/>
      <c r="AG59" s="972"/>
      <c r="AH59" s="972"/>
      <c r="AI59" s="973"/>
    </row>
    <row r="60" spans="1:36" ht="21" hidden="1" customHeight="1" outlineLevel="2" x14ac:dyDescent="0.35">
      <c r="A60" s="41"/>
      <c r="B60" s="15"/>
      <c r="C60" s="15"/>
      <c r="D60" s="15"/>
      <c r="E60" s="15"/>
      <c r="F60" s="15"/>
      <c r="G60" s="15"/>
      <c r="H60" s="15"/>
      <c r="I60" s="15"/>
      <c r="J60" s="15"/>
      <c r="K60" s="15"/>
      <c r="L60" s="15"/>
      <c r="M60" s="15"/>
      <c r="N60" s="15"/>
      <c r="O60" s="15"/>
      <c r="P60" s="15"/>
      <c r="Q60" s="15"/>
      <c r="R60" s="15"/>
      <c r="S60" s="15"/>
      <c r="T60" s="15"/>
      <c r="U60" s="245" t="s">
        <v>156</v>
      </c>
      <c r="V60" s="246" t="s">
        <v>155</v>
      </c>
      <c r="W60" s="225"/>
      <c r="X60" s="953">
        <f>+SUMIFS(COMPRAS!BG:BG,COMPRAS!BF:BF,V60,COMPRAS!DD:DD,"SI")+SUMIFS(COMPRAS!BP:BP,COMPRAS!BO:BO,V60,COMPRAS!DD:DD,"SI")+SUMIFS(COMPRAS!BY:BY,COMPRAS!BX:BX,V60,COMPRAS!DD:DD,"SI")</f>
        <v>0</v>
      </c>
      <c r="Y60" s="954"/>
      <c r="Z60" s="954"/>
      <c r="AA60" s="954"/>
      <c r="AB60" s="130"/>
      <c r="AC60" s="971"/>
      <c r="AD60" s="972"/>
      <c r="AE60" s="972"/>
      <c r="AF60" s="972"/>
      <c r="AG60" s="972"/>
      <c r="AH60" s="972"/>
      <c r="AI60" s="973"/>
    </row>
    <row r="61" spans="1:36" ht="21" hidden="1" customHeight="1" outlineLevel="2" x14ac:dyDescent="0.35">
      <c r="A61" s="41"/>
      <c r="B61" s="15"/>
      <c r="C61" s="15"/>
      <c r="D61" s="15"/>
      <c r="E61" s="15"/>
      <c r="F61" s="15"/>
      <c r="G61" s="15"/>
      <c r="H61" s="15"/>
      <c r="I61" s="15"/>
      <c r="J61" s="15"/>
      <c r="K61" s="15"/>
      <c r="L61" s="15"/>
      <c r="M61" s="15"/>
      <c r="N61" s="15"/>
      <c r="O61" s="15"/>
      <c r="P61" s="15"/>
      <c r="Q61" s="15"/>
      <c r="R61" s="15"/>
      <c r="S61" s="15"/>
      <c r="T61" s="15"/>
      <c r="U61" s="245" t="s">
        <v>158</v>
      </c>
      <c r="V61" s="246" t="s">
        <v>157</v>
      </c>
      <c r="W61" s="225"/>
      <c r="X61" s="953">
        <f>+SUMIFS(COMPRAS!BG:BG,COMPRAS!BF:BF,V61,COMPRAS!DD:DD,"SI")+SUMIFS(COMPRAS!BP:BP,COMPRAS!BO:BO,V61,COMPRAS!DD:DD,"SI")+SUMIFS(COMPRAS!BY:BY,COMPRAS!BX:BX,V61,COMPRAS!DD:DD,"SI")</f>
        <v>0</v>
      </c>
      <c r="Y61" s="954"/>
      <c r="Z61" s="954"/>
      <c r="AA61" s="954"/>
      <c r="AB61" s="130"/>
      <c r="AC61" s="971"/>
      <c r="AD61" s="972"/>
      <c r="AE61" s="972"/>
      <c r="AF61" s="972"/>
      <c r="AG61" s="972"/>
      <c r="AH61" s="972"/>
      <c r="AI61" s="973"/>
    </row>
    <row r="62" spans="1:36" ht="21" hidden="1" customHeight="1" outlineLevel="2" thickBot="1" x14ac:dyDescent="0.4">
      <c r="A62" s="41"/>
      <c r="B62" s="15"/>
      <c r="C62" s="15"/>
      <c r="D62" s="15"/>
      <c r="E62" s="15"/>
      <c r="F62" s="15"/>
      <c r="G62" s="15"/>
      <c r="H62" s="15"/>
      <c r="I62" s="15"/>
      <c r="J62" s="15"/>
      <c r="K62" s="15"/>
      <c r="L62" s="15"/>
      <c r="M62" s="15"/>
      <c r="N62" s="15"/>
      <c r="O62" s="15"/>
      <c r="P62" s="15"/>
      <c r="Q62" s="15"/>
      <c r="R62" s="15"/>
      <c r="S62" s="15"/>
      <c r="T62" s="15"/>
      <c r="U62" s="245" t="s">
        <v>160</v>
      </c>
      <c r="V62" s="246" t="s">
        <v>159</v>
      </c>
      <c r="W62" s="225"/>
      <c r="X62" s="953">
        <f>+SUMIFS(COMPRAS!BG:BG,COMPRAS!BF:BF,V62,COMPRAS!DD:DD,"SI")+SUMIFS(COMPRAS!BP:BP,COMPRAS!BO:BO,V62,COMPRAS!DD:DD,"SI")+SUMIFS(COMPRAS!BY:BY,COMPRAS!BX:BX,V62,COMPRAS!DD:DD,"SI")</f>
        <v>0</v>
      </c>
      <c r="Y62" s="954"/>
      <c r="Z62" s="954"/>
      <c r="AA62" s="954"/>
      <c r="AB62" s="130"/>
      <c r="AC62" s="960"/>
      <c r="AD62" s="961"/>
      <c r="AE62" s="961"/>
      <c r="AF62" s="961"/>
      <c r="AG62" s="961"/>
      <c r="AH62" s="961"/>
      <c r="AI62" s="962"/>
    </row>
    <row r="63" spans="1:36" ht="21" customHeight="1" outlineLevel="1" collapsed="1" thickBot="1" x14ac:dyDescent="0.4">
      <c r="A63" s="957" t="s">
        <v>2255</v>
      </c>
      <c r="B63" s="958"/>
      <c r="C63" s="958"/>
      <c r="D63" s="958"/>
      <c r="E63" s="958"/>
      <c r="F63" s="958"/>
      <c r="G63" s="958"/>
      <c r="H63" s="958"/>
      <c r="I63" s="958"/>
      <c r="J63" s="958"/>
      <c r="K63" s="958"/>
      <c r="L63" s="958"/>
      <c r="M63" s="958"/>
      <c r="N63" s="958"/>
      <c r="O63" s="958"/>
      <c r="P63" s="958"/>
      <c r="Q63" s="958"/>
      <c r="R63" s="958"/>
      <c r="S63" s="958"/>
      <c r="T63" s="958"/>
      <c r="U63" s="958"/>
      <c r="V63" s="958"/>
      <c r="W63" s="958"/>
      <c r="X63" s="958"/>
      <c r="Y63" s="958"/>
      <c r="Z63" s="958"/>
      <c r="AA63" s="958"/>
      <c r="AB63" s="958"/>
      <c r="AC63" s="958"/>
      <c r="AD63" s="958"/>
      <c r="AE63" s="958"/>
      <c r="AF63" s="958"/>
      <c r="AG63" s="958"/>
      <c r="AH63" s="958"/>
      <c r="AI63" s="959"/>
    </row>
    <row r="64" spans="1:36" ht="21" customHeight="1" outlineLevel="1" x14ac:dyDescent="0.35">
      <c r="A64" s="41" t="s">
        <v>977</v>
      </c>
      <c r="B64" s="37"/>
      <c r="C64" s="37"/>
      <c r="D64" s="37"/>
      <c r="E64" s="15"/>
      <c r="F64" s="15"/>
      <c r="G64" s="15"/>
      <c r="H64" s="15"/>
      <c r="I64" s="15"/>
      <c r="J64" s="15"/>
      <c r="K64" s="15"/>
      <c r="L64" s="15"/>
      <c r="M64" s="15"/>
      <c r="N64" s="15"/>
      <c r="O64" s="15"/>
      <c r="P64" s="15"/>
      <c r="Q64" s="15"/>
      <c r="R64" s="15"/>
      <c r="S64" s="15"/>
      <c r="T64" s="15"/>
      <c r="U64" s="130"/>
      <c r="V64" s="54">
        <v>314</v>
      </c>
      <c r="W64" s="225" t="s">
        <v>770</v>
      </c>
      <c r="X64" s="953">
        <f>SUM(X65:AA68)</f>
        <v>0</v>
      </c>
      <c r="Y64" s="954"/>
      <c r="Z64" s="954"/>
      <c r="AA64" s="954"/>
      <c r="AB64" s="130"/>
      <c r="AC64" s="226">
        <v>364</v>
      </c>
      <c r="AD64" s="74" t="s">
        <v>770</v>
      </c>
      <c r="AE64" s="953">
        <f>SUM(AE65:AH68)</f>
        <v>0</v>
      </c>
      <c r="AF64" s="954"/>
      <c r="AG64" s="954"/>
      <c r="AH64" s="954"/>
      <c r="AI64" s="14"/>
      <c r="AJ64" s="270"/>
    </row>
    <row r="65" spans="1:36" ht="21" hidden="1" customHeight="1" outlineLevel="2" x14ac:dyDescent="0.35">
      <c r="A65" s="249"/>
      <c r="B65" s="37"/>
      <c r="C65" s="37"/>
      <c r="D65" s="37"/>
      <c r="E65" s="15"/>
      <c r="F65" s="15"/>
      <c r="G65" s="15"/>
      <c r="H65" s="15"/>
      <c r="I65" s="15"/>
      <c r="J65" s="15"/>
      <c r="K65" s="15"/>
      <c r="L65" s="15"/>
      <c r="M65" s="15"/>
      <c r="N65" s="15"/>
      <c r="O65" s="15"/>
      <c r="P65" s="15"/>
      <c r="Q65" s="15"/>
      <c r="R65" s="15"/>
      <c r="S65" s="15"/>
      <c r="T65" s="15"/>
      <c r="U65" s="245" t="s">
        <v>98</v>
      </c>
      <c r="V65" s="246" t="s">
        <v>97</v>
      </c>
      <c r="W65" s="225"/>
      <c r="X65" s="953">
        <f>+SUMIFS(COMPRAS!BG:BG,COMPRAS!BF:BF,V65,COMPRAS!DD:DD,"SI")+SUMIFS(COMPRAS!BP:BP,COMPRAS!BO:BO,V65,COMPRAS!DD:DD,"SI")+SUMIFS(COMPRAS!BY:BY,COMPRAS!BX:BX,V65,COMPRAS!DD:DD,"SI")</f>
        <v>0</v>
      </c>
      <c r="Y65" s="954"/>
      <c r="Z65" s="954"/>
      <c r="AA65" s="954"/>
      <c r="AB65" s="130"/>
      <c r="AC65" s="226"/>
      <c r="AD65" s="74"/>
      <c r="AE65" s="953">
        <f>SUMIFS(COMPRAS!BI:BI,COMPRAS!BF:BF,V65,COMPRAS!DD:DD,"SI")+SUMIFS(COMPRAS!BR:BR,COMPRAS!BO:BO,V65,COMPRAS!DD:DD,"SI")+SUMIFS(COMPRAS!CA:CA,COMPRAS!BX:BX,V65,COMPRAS!DD:DD,"SI")</f>
        <v>0</v>
      </c>
      <c r="AF65" s="954"/>
      <c r="AG65" s="954"/>
      <c r="AH65" s="954"/>
      <c r="AI65" s="14"/>
    </row>
    <row r="66" spans="1:36" ht="21" hidden="1" customHeight="1" outlineLevel="2" x14ac:dyDescent="0.35">
      <c r="A66" s="249"/>
      <c r="B66" s="37"/>
      <c r="C66" s="37"/>
      <c r="D66" s="37"/>
      <c r="E66" s="15"/>
      <c r="F66" s="15"/>
      <c r="G66" s="15"/>
      <c r="H66" s="15"/>
      <c r="I66" s="15"/>
      <c r="J66" s="15"/>
      <c r="K66" s="15"/>
      <c r="L66" s="15"/>
      <c r="M66" s="15"/>
      <c r="N66" s="15"/>
      <c r="O66" s="15"/>
      <c r="P66" s="15"/>
      <c r="Q66" s="15"/>
      <c r="R66" s="15"/>
      <c r="S66" s="15"/>
      <c r="T66" s="15"/>
      <c r="U66" s="245" t="s">
        <v>100</v>
      </c>
      <c r="V66" s="246" t="s">
        <v>99</v>
      </c>
      <c r="W66" s="225"/>
      <c r="X66" s="953">
        <f>+SUMIFS(COMPRAS!BG:BG,COMPRAS!BF:BF,V66,COMPRAS!DD:DD,"SI")+SUMIFS(COMPRAS!BP:BP,COMPRAS!BO:BO,V66,COMPRAS!DD:DD,"SI")+SUMIFS(COMPRAS!BY:BY,COMPRAS!BX:BX,V66,COMPRAS!DD:DD,"SI")</f>
        <v>0</v>
      </c>
      <c r="Y66" s="954"/>
      <c r="Z66" s="954"/>
      <c r="AA66" s="954"/>
      <c r="AB66" s="130"/>
      <c r="AC66" s="226"/>
      <c r="AD66" s="74"/>
      <c r="AE66" s="953">
        <f>SUMIFS(COMPRAS!BI:BI,COMPRAS!BF:BF,V66,COMPRAS!DD:DD,"SI")+SUMIFS(COMPRAS!BR:BR,COMPRAS!BO:BO,V66,COMPRAS!DD:DD,"SI")+SUMIFS(COMPRAS!CA:CA,COMPRAS!BX:BX,V66,COMPRAS!DD:DD,"SI")</f>
        <v>0</v>
      </c>
      <c r="AF66" s="954"/>
      <c r="AG66" s="954"/>
      <c r="AH66" s="954"/>
      <c r="AI66" s="14"/>
    </row>
    <row r="67" spans="1:36" ht="21" hidden="1" customHeight="1" outlineLevel="2" x14ac:dyDescent="0.35">
      <c r="A67" s="249"/>
      <c r="B67" s="37"/>
      <c r="C67" s="37"/>
      <c r="D67" s="37"/>
      <c r="E67" s="15"/>
      <c r="F67" s="15"/>
      <c r="G67" s="15"/>
      <c r="H67" s="15"/>
      <c r="I67" s="15"/>
      <c r="J67" s="15"/>
      <c r="K67" s="15"/>
      <c r="L67" s="15"/>
      <c r="M67" s="15"/>
      <c r="N67" s="15"/>
      <c r="O67" s="15"/>
      <c r="P67" s="15"/>
      <c r="Q67" s="15"/>
      <c r="R67" s="15"/>
      <c r="S67" s="15"/>
      <c r="T67" s="15"/>
      <c r="U67" s="245" t="s">
        <v>102</v>
      </c>
      <c r="V67" s="246" t="s">
        <v>101</v>
      </c>
      <c r="W67" s="225"/>
      <c r="X67" s="953">
        <f>+SUMIFS(COMPRAS!BG:BG,COMPRAS!BF:BF,V67,COMPRAS!DD:DD,"SI")+SUMIFS(COMPRAS!BP:BP,COMPRAS!BO:BO,V67,COMPRAS!DD:DD,"SI")+SUMIFS(COMPRAS!BY:BY,COMPRAS!BX:BX,V67,COMPRAS!DD:DD,"SI")</f>
        <v>0</v>
      </c>
      <c r="Y67" s="954"/>
      <c r="Z67" s="954"/>
      <c r="AA67" s="954"/>
      <c r="AB67" s="130"/>
      <c r="AC67" s="226"/>
      <c r="AD67" s="74"/>
      <c r="AE67" s="953">
        <f>SUMIFS(COMPRAS!BI:BI,COMPRAS!BF:BF,V67,COMPRAS!DD:DD,"SI")+SUMIFS(COMPRAS!BR:BR,COMPRAS!BO:BO,V67,COMPRAS!DD:DD,"SI")+SUMIFS(COMPRAS!CA:CA,COMPRAS!BX:BX,V67,COMPRAS!DD:DD,"SI")</f>
        <v>0</v>
      </c>
      <c r="AF67" s="954"/>
      <c r="AG67" s="954"/>
      <c r="AH67" s="954"/>
      <c r="AI67" s="14"/>
    </row>
    <row r="68" spans="1:36" ht="21" hidden="1" customHeight="1" outlineLevel="2" x14ac:dyDescent="0.35">
      <c r="A68" s="249"/>
      <c r="B68" s="37"/>
      <c r="C68" s="37"/>
      <c r="D68" s="37"/>
      <c r="E68" s="15"/>
      <c r="F68" s="15"/>
      <c r="G68" s="15"/>
      <c r="H68" s="15"/>
      <c r="I68" s="15"/>
      <c r="J68" s="15"/>
      <c r="K68" s="15"/>
      <c r="L68" s="15"/>
      <c r="M68" s="15"/>
      <c r="N68" s="15"/>
      <c r="O68" s="15"/>
      <c r="P68" s="15"/>
      <c r="Q68" s="15"/>
      <c r="R68" s="15"/>
      <c r="S68" s="15"/>
      <c r="T68" s="15"/>
      <c r="U68" s="245" t="s">
        <v>104</v>
      </c>
      <c r="V68" s="246" t="s">
        <v>103</v>
      </c>
      <c r="W68" s="225"/>
      <c r="X68" s="953">
        <f>+SUMIFS(COMPRAS!BG:BG,COMPRAS!BF:BF,V68,COMPRAS!DD:DD,"SI")+SUMIFS(COMPRAS!BP:BP,COMPRAS!BO:BO,V68,COMPRAS!DD:DD,"SI")+SUMIFS(COMPRAS!BY:BY,COMPRAS!BX:BX,V68,COMPRAS!DD:DD,"SI")</f>
        <v>0</v>
      </c>
      <c r="Y68" s="954"/>
      <c r="Z68" s="954"/>
      <c r="AA68" s="954"/>
      <c r="AB68" s="130"/>
      <c r="AC68" s="226"/>
      <c r="AD68" s="74"/>
      <c r="AE68" s="953">
        <f>SUMIFS(COMPRAS!BI:BI,COMPRAS!BF:BF,V68,COMPRAS!DD:DD,"SI")+SUMIFS(COMPRAS!BR:BR,COMPRAS!BO:BO,V68,COMPRAS!DD:DD,"SI")+SUMIFS(COMPRAS!CA:CA,COMPRAS!BX:BX,V68,COMPRAS!DD:DD,"SI")</f>
        <v>0</v>
      </c>
      <c r="AF68" s="954"/>
      <c r="AG68" s="954"/>
      <c r="AH68" s="954"/>
      <c r="AI68" s="14"/>
    </row>
    <row r="69" spans="1:36" ht="21" customHeight="1" outlineLevel="1" collapsed="1" x14ac:dyDescent="0.35">
      <c r="A69" s="41" t="s">
        <v>2236</v>
      </c>
      <c r="B69" s="41"/>
      <c r="C69" s="37"/>
      <c r="D69" s="37"/>
      <c r="E69" s="15"/>
      <c r="F69" s="15"/>
      <c r="G69" s="15"/>
      <c r="H69" s="15"/>
      <c r="I69" s="15"/>
      <c r="J69" s="15"/>
      <c r="K69" s="15"/>
      <c r="L69" s="15"/>
      <c r="M69" s="15"/>
      <c r="N69" s="15"/>
      <c r="O69" s="15"/>
      <c r="P69" s="15"/>
      <c r="Q69" s="15"/>
      <c r="R69" s="15"/>
      <c r="S69" s="15"/>
      <c r="T69" s="15"/>
      <c r="U69" s="245"/>
      <c r="V69" s="54">
        <v>3140</v>
      </c>
      <c r="W69" s="225" t="s">
        <v>770</v>
      </c>
      <c r="X69" s="953">
        <f>SUM(X70:AA70)</f>
        <v>0</v>
      </c>
      <c r="Y69" s="954"/>
      <c r="Z69" s="954"/>
      <c r="AA69" s="954"/>
      <c r="AB69" s="130"/>
      <c r="AC69" s="226">
        <v>3640</v>
      </c>
      <c r="AD69" s="74" t="s">
        <v>770</v>
      </c>
      <c r="AE69" s="953">
        <f>SUM(AE70:AH70)</f>
        <v>0</v>
      </c>
      <c r="AF69" s="954"/>
      <c r="AG69" s="954"/>
      <c r="AH69" s="954"/>
      <c r="AI69" s="14"/>
      <c r="AJ69" s="270"/>
    </row>
    <row r="70" spans="1:36" ht="21" hidden="1" customHeight="1" outlineLevel="2" x14ac:dyDescent="0.35">
      <c r="A70" s="247"/>
      <c r="B70" s="37"/>
      <c r="C70" s="37"/>
      <c r="D70" s="37"/>
      <c r="E70" s="15"/>
      <c r="F70" s="15"/>
      <c r="G70" s="15"/>
      <c r="H70" s="15"/>
      <c r="I70" s="15"/>
      <c r="J70" s="15"/>
      <c r="K70" s="15"/>
      <c r="L70" s="15"/>
      <c r="M70" s="15"/>
      <c r="N70" s="15"/>
      <c r="O70" s="15"/>
      <c r="P70" s="15"/>
      <c r="Q70" s="15"/>
      <c r="R70" s="15"/>
      <c r="S70" s="15"/>
      <c r="T70" s="15"/>
      <c r="U70" s="245" t="s">
        <v>2256</v>
      </c>
      <c r="V70" s="246">
        <v>3482</v>
      </c>
      <c r="W70" s="225"/>
      <c r="X70" s="953">
        <f>+SUMIFS(COMPRAS!BG:BG,COMPRAS!BF:BF,V70,COMPRAS!DD:DD,"SI")+SUMIFS(COMPRAS!BP:BP,COMPRAS!BO:BO,V70,COMPRAS!DD:DD,"SI")+SUMIFS(COMPRAS!BY:BY,COMPRAS!BX:BX,V70,COMPRAS!DD:DD,"SI")</f>
        <v>0</v>
      </c>
      <c r="Y70" s="954"/>
      <c r="Z70" s="954"/>
      <c r="AA70" s="954"/>
      <c r="AB70" s="130"/>
      <c r="AC70" s="226"/>
      <c r="AD70" s="74"/>
      <c r="AE70" s="953">
        <f>SUMIFS(COMPRAS!BI:BI,COMPRAS!BF:BF,V70,COMPRAS!DD:DD,"SI")+SUMIFS(COMPRAS!BR:BR,COMPRAS!BO:BO,V70,COMPRAS!DD:DD,"SI")+SUMIFS(COMPRAS!CA:CA,COMPRAS!BX:BX,V70,COMPRAS!DD:DD,"SI")</f>
        <v>0</v>
      </c>
      <c r="AF70" s="954"/>
      <c r="AG70" s="954"/>
      <c r="AH70" s="954"/>
      <c r="AI70" s="14"/>
    </row>
    <row r="71" spans="1:36" ht="21" customHeight="1" outlineLevel="1" collapsed="1" x14ac:dyDescent="0.35">
      <c r="A71" s="1084" t="s">
        <v>976</v>
      </c>
      <c r="B71" s="1085"/>
      <c r="C71" s="1086"/>
      <c r="D71" s="15" t="s">
        <v>975</v>
      </c>
      <c r="E71" s="15"/>
      <c r="F71" s="15"/>
      <c r="G71" s="15"/>
      <c r="H71" s="15"/>
      <c r="I71" s="15"/>
      <c r="J71" s="15"/>
      <c r="K71" s="15"/>
      <c r="L71" s="15"/>
      <c r="M71" s="15"/>
      <c r="N71" s="15"/>
      <c r="O71" s="15"/>
      <c r="P71" s="15"/>
      <c r="Q71" s="15"/>
      <c r="R71" s="15"/>
      <c r="S71" s="15"/>
      <c r="T71" s="15"/>
      <c r="U71" s="130"/>
      <c r="V71" s="54">
        <v>319</v>
      </c>
      <c r="W71" s="225" t="s">
        <v>770</v>
      </c>
      <c r="X71" s="953">
        <f>+SUMIFS(COMPRAS!BG:BG,COMPRAS!BF:BF,V71,COMPRAS!DD:DD,"SI")+SUMIFS(COMPRAS!BP:BP,COMPRAS!BO:BO,V71,COMPRAS!DD:DD,"SI")+SUMIFS(COMPRAS!BY:BY,COMPRAS!BX:BX,V71,COMPRAS!DD:DD,"SI")</f>
        <v>0</v>
      </c>
      <c r="Y71" s="954"/>
      <c r="Z71" s="954"/>
      <c r="AA71" s="954"/>
      <c r="AB71" s="130"/>
      <c r="AC71" s="111">
        <v>369</v>
      </c>
      <c r="AD71" s="74" t="s">
        <v>770</v>
      </c>
      <c r="AE71" s="953">
        <f>SUMIFS(COMPRAS!BI:BI,COMPRAS!BF:BF,V71,COMPRAS!DD:DD,"SI")+SUMIFS(COMPRAS!BR:BR,COMPRAS!BO:BO,V71,COMPRAS!DD:DD,"SI")+SUMIFS(COMPRAS!CA:CA,COMPRAS!BX:BX,V71,COMPRAS!DD:DD,"SI")</f>
        <v>0</v>
      </c>
      <c r="AF71" s="954"/>
      <c r="AG71" s="954"/>
      <c r="AH71" s="954"/>
      <c r="AI71" s="14"/>
      <c r="AJ71" s="270"/>
    </row>
    <row r="72" spans="1:36" ht="21" customHeight="1" outlineLevel="1" thickBot="1" x14ac:dyDescent="0.4">
      <c r="A72" s="1087"/>
      <c r="B72" s="1088"/>
      <c r="C72" s="1089"/>
      <c r="D72" s="37" t="s">
        <v>974</v>
      </c>
      <c r="E72" s="37"/>
      <c r="F72" s="37"/>
      <c r="G72" s="37"/>
      <c r="H72" s="37"/>
      <c r="I72" s="37"/>
      <c r="J72" s="37"/>
      <c r="K72" s="37"/>
      <c r="L72" s="37"/>
      <c r="M72" s="37"/>
      <c r="N72" s="37"/>
      <c r="O72" s="37"/>
      <c r="P72" s="37"/>
      <c r="Q72" s="37"/>
      <c r="R72" s="37"/>
      <c r="S72" s="37"/>
      <c r="T72" s="37"/>
      <c r="U72" s="242"/>
      <c r="V72" s="52">
        <v>320</v>
      </c>
      <c r="W72" s="837" t="s">
        <v>770</v>
      </c>
      <c r="X72" s="966">
        <f>+SUMIFS(COMPRAS!BG:BG,COMPRAS!BF:BF,V72,COMPRAS!DD:DD,"SI")+SUMIFS(COMPRAS!BP:BP,COMPRAS!BO:BO,V72,COMPRAS!DD:DD,"SI")+SUMIFS(COMPRAS!BY:BY,COMPRAS!BX:BX,V72,COMPRAS!DD:DD,"SI")</f>
        <v>0</v>
      </c>
      <c r="Y72" s="967"/>
      <c r="Z72" s="967"/>
      <c r="AA72" s="967"/>
      <c r="AB72" s="242"/>
      <c r="AC72" s="838">
        <v>370</v>
      </c>
      <c r="AD72" s="836" t="s">
        <v>770</v>
      </c>
      <c r="AE72" s="966">
        <f>SUMIFS(COMPRAS!BI:BI,COMPRAS!BF:BF,V72,COMPRAS!DD:DD,"SI")+SUMIFS(COMPRAS!BR:BR,COMPRAS!BO:BO,V72,COMPRAS!DD:DD,"SI")+SUMIFS(COMPRAS!CA:CA,COMPRAS!BX:BX,V72,COMPRAS!DD:DD,"SI")</f>
        <v>0</v>
      </c>
      <c r="AF72" s="967"/>
      <c r="AG72" s="967"/>
      <c r="AH72" s="967"/>
      <c r="AI72" s="205"/>
      <c r="AJ72" s="270"/>
    </row>
    <row r="73" spans="1:36" ht="21" customHeight="1" outlineLevel="1" thickBot="1" x14ac:dyDescent="0.4">
      <c r="A73" s="957" t="s">
        <v>2257</v>
      </c>
      <c r="B73" s="958"/>
      <c r="C73" s="958"/>
      <c r="D73" s="958"/>
      <c r="E73" s="958"/>
      <c r="F73" s="958"/>
      <c r="G73" s="958"/>
      <c r="H73" s="958"/>
      <c r="I73" s="958"/>
      <c r="J73" s="958"/>
      <c r="K73" s="958"/>
      <c r="L73" s="958"/>
      <c r="M73" s="958"/>
      <c r="N73" s="958"/>
      <c r="O73" s="958"/>
      <c r="P73" s="958"/>
      <c r="Q73" s="958"/>
      <c r="R73" s="958"/>
      <c r="S73" s="958"/>
      <c r="T73" s="958"/>
      <c r="U73" s="958"/>
      <c r="V73" s="958"/>
      <c r="W73" s="958"/>
      <c r="X73" s="958"/>
      <c r="Y73" s="958"/>
      <c r="Z73" s="958"/>
      <c r="AA73" s="958"/>
      <c r="AB73" s="958"/>
      <c r="AC73" s="958"/>
      <c r="AD73" s="958"/>
      <c r="AE73" s="958"/>
      <c r="AF73" s="958"/>
      <c r="AG73" s="958"/>
      <c r="AH73" s="958"/>
      <c r="AI73" s="959"/>
    </row>
    <row r="74" spans="1:36" ht="21" customHeight="1" outlineLevel="1" x14ac:dyDescent="0.35">
      <c r="A74" s="41" t="s">
        <v>973</v>
      </c>
      <c r="B74" s="15"/>
      <c r="C74" s="15"/>
      <c r="D74" s="15"/>
      <c r="E74" s="15"/>
      <c r="F74" s="15"/>
      <c r="G74" s="15"/>
      <c r="H74" s="15"/>
      <c r="I74" s="15"/>
      <c r="J74" s="15"/>
      <c r="K74" s="15"/>
      <c r="L74" s="15"/>
      <c r="M74" s="15"/>
      <c r="N74" s="15"/>
      <c r="O74" s="15"/>
      <c r="P74" s="15"/>
      <c r="Q74" s="15"/>
      <c r="R74" s="15"/>
      <c r="S74" s="15"/>
      <c r="T74" s="15"/>
      <c r="U74" s="130"/>
      <c r="V74" s="54">
        <v>323</v>
      </c>
      <c r="W74" s="225" t="s">
        <v>770</v>
      </c>
      <c r="X74" s="953">
        <f>SUM(X75:AA86)</f>
        <v>0</v>
      </c>
      <c r="Y74" s="954"/>
      <c r="Z74" s="954"/>
      <c r="AA74" s="954"/>
      <c r="AB74" s="130"/>
      <c r="AC74" s="226">
        <v>373</v>
      </c>
      <c r="AD74" s="74" t="s">
        <v>770</v>
      </c>
      <c r="AE74" s="953">
        <f>SUM(AE75:AH86)</f>
        <v>0</v>
      </c>
      <c r="AF74" s="954"/>
      <c r="AG74" s="954"/>
      <c r="AH74" s="954"/>
      <c r="AI74" s="14"/>
      <c r="AJ74" s="270"/>
    </row>
    <row r="75" spans="1:36" ht="21" hidden="1" customHeight="1" outlineLevel="2" x14ac:dyDescent="0.35">
      <c r="A75" s="41"/>
      <c r="B75" s="15"/>
      <c r="C75" s="15"/>
      <c r="D75" s="15"/>
      <c r="E75" s="15"/>
      <c r="F75" s="15"/>
      <c r="G75" s="15"/>
      <c r="H75" s="15"/>
      <c r="I75" s="15"/>
      <c r="J75" s="15"/>
      <c r="K75" s="15"/>
      <c r="L75" s="15"/>
      <c r="M75" s="15"/>
      <c r="N75" s="15"/>
      <c r="O75" s="15"/>
      <c r="P75" s="15"/>
      <c r="Q75" s="15"/>
      <c r="R75" s="15"/>
      <c r="S75" s="15"/>
      <c r="T75" s="15"/>
      <c r="U75" s="245" t="s">
        <v>106</v>
      </c>
      <c r="V75" s="246">
        <v>323</v>
      </c>
      <c r="W75" s="225"/>
      <c r="X75" s="953">
        <f>+SUMIFS(COMPRAS!BG:BG,COMPRAS!BF:BF,V75,COMPRAS!DD:DD,"SI")+SUMIFS(COMPRAS!BP:BP,COMPRAS!BO:BO,V75,COMPRAS!DD:DD,"SI")+SUMIFS(COMPRAS!BY:BY,COMPRAS!BX:BX,V75,COMPRAS!DD:DD,"SI")</f>
        <v>0</v>
      </c>
      <c r="Y75" s="954"/>
      <c r="Z75" s="954"/>
      <c r="AA75" s="954"/>
      <c r="AB75" s="130"/>
      <c r="AC75" s="226"/>
      <c r="AD75" s="74"/>
      <c r="AE75" s="953">
        <f>SUMIFS(COMPRAS!BI:BI,COMPRAS!BF:BF,V75,COMPRAS!DD:DD,"SI")+SUMIFS(COMPRAS!BR:BR,COMPRAS!BO:BO,V75,COMPRAS!DD:DD,"SI")+SUMIFS(COMPRAS!CA:CA,COMPRAS!BX:BX,V75,COMPRAS!DD:DD,"SI")</f>
        <v>0</v>
      </c>
      <c r="AF75" s="954"/>
      <c r="AG75" s="954"/>
      <c r="AH75" s="954"/>
      <c r="AI75" s="14"/>
    </row>
    <row r="76" spans="1:36" ht="21" hidden="1" customHeight="1" outlineLevel="2" x14ac:dyDescent="0.35">
      <c r="A76" s="41"/>
      <c r="B76" s="15"/>
      <c r="C76" s="15"/>
      <c r="D76" s="15"/>
      <c r="E76" s="15"/>
      <c r="F76" s="15"/>
      <c r="G76" s="15"/>
      <c r="H76" s="15"/>
      <c r="I76" s="15"/>
      <c r="J76" s="15"/>
      <c r="K76" s="15"/>
      <c r="L76" s="15"/>
      <c r="M76" s="15"/>
      <c r="N76" s="15"/>
      <c r="O76" s="15"/>
      <c r="P76" s="15"/>
      <c r="Q76" s="15"/>
      <c r="R76" s="15"/>
      <c r="S76" s="15"/>
      <c r="T76" s="15"/>
      <c r="U76" s="245" t="s">
        <v>108</v>
      </c>
      <c r="V76" s="246" t="s">
        <v>107</v>
      </c>
      <c r="W76" s="225"/>
      <c r="X76" s="953">
        <f>+SUMIFS(COMPRAS!BG:BG,COMPRAS!BF:BF,V76,COMPRAS!DD:DD,"SI")+SUMIFS(COMPRAS!BP:BP,COMPRAS!BO:BO,V76,COMPRAS!DD:DD,"SI")+SUMIFS(COMPRAS!BY:BY,COMPRAS!BX:BX,V76,COMPRAS!DD:DD,"SI")</f>
        <v>0</v>
      </c>
      <c r="Y76" s="954"/>
      <c r="Z76" s="954"/>
      <c r="AA76" s="954"/>
      <c r="AB76" s="130"/>
      <c r="AC76" s="226"/>
      <c r="AD76" s="74"/>
      <c r="AE76" s="953">
        <f>SUMIFS(COMPRAS!BI:BI,COMPRAS!BF:BF,V76,COMPRAS!DD:DD,"SI")+SUMIFS(COMPRAS!BR:BR,COMPRAS!BO:BO,V76,COMPRAS!DD:DD,"SI")+SUMIFS(COMPRAS!CA:CA,COMPRAS!BX:BX,V76,COMPRAS!DD:DD,"SI")</f>
        <v>0</v>
      </c>
      <c r="AF76" s="954"/>
      <c r="AG76" s="954"/>
      <c r="AH76" s="954"/>
      <c r="AI76" s="14"/>
    </row>
    <row r="77" spans="1:36" ht="21" hidden="1" customHeight="1" outlineLevel="2" x14ac:dyDescent="0.35">
      <c r="A77" s="41"/>
      <c r="B77" s="15"/>
      <c r="C77" s="15"/>
      <c r="D77" s="15"/>
      <c r="E77" s="15"/>
      <c r="F77" s="15"/>
      <c r="G77" s="15"/>
      <c r="H77" s="15"/>
      <c r="I77" s="15"/>
      <c r="J77" s="15"/>
      <c r="K77" s="15"/>
      <c r="L77" s="15"/>
      <c r="M77" s="15"/>
      <c r="N77" s="15"/>
      <c r="O77" s="15"/>
      <c r="P77" s="15"/>
      <c r="Q77" s="15"/>
      <c r="R77" s="15"/>
      <c r="S77" s="15"/>
      <c r="T77" s="15"/>
      <c r="U77" s="245" t="s">
        <v>110</v>
      </c>
      <c r="V77" s="246" t="s">
        <v>109</v>
      </c>
      <c r="W77" s="225"/>
      <c r="X77" s="953">
        <f>+SUMIFS(COMPRAS!BG:BG,COMPRAS!BF:BF,V77,COMPRAS!DD:DD,"SI")+SUMIFS(COMPRAS!BP:BP,COMPRAS!BO:BO,V77,COMPRAS!DD:DD,"SI")+SUMIFS(COMPRAS!BY:BY,COMPRAS!BX:BX,V77,COMPRAS!DD:DD,"SI")</f>
        <v>0</v>
      </c>
      <c r="Y77" s="954"/>
      <c r="Z77" s="954"/>
      <c r="AA77" s="954"/>
      <c r="AB77" s="130"/>
      <c r="AC77" s="226"/>
      <c r="AD77" s="74"/>
      <c r="AE77" s="953">
        <f>SUMIFS(COMPRAS!BI:BI,COMPRAS!BF:BF,V77,COMPRAS!DD:DD,"SI")+SUMIFS(COMPRAS!BR:BR,COMPRAS!BO:BO,V77,COMPRAS!DD:DD,"SI")+SUMIFS(COMPRAS!CA:CA,COMPRAS!BX:BX,V77,COMPRAS!DD:DD,"SI")</f>
        <v>0</v>
      </c>
      <c r="AF77" s="954"/>
      <c r="AG77" s="954"/>
      <c r="AH77" s="954"/>
      <c r="AI77" s="14"/>
    </row>
    <row r="78" spans="1:36" ht="21" hidden="1" customHeight="1" outlineLevel="2" x14ac:dyDescent="0.35">
      <c r="A78" s="41"/>
      <c r="B78" s="15"/>
      <c r="C78" s="15"/>
      <c r="D78" s="15"/>
      <c r="E78" s="15"/>
      <c r="F78" s="15"/>
      <c r="G78" s="15"/>
      <c r="H78" s="15"/>
      <c r="I78" s="15"/>
      <c r="J78" s="15"/>
      <c r="K78" s="15"/>
      <c r="L78" s="15"/>
      <c r="M78" s="15"/>
      <c r="N78" s="15"/>
      <c r="O78" s="15"/>
      <c r="P78" s="15"/>
      <c r="Q78" s="15"/>
      <c r="R78" s="15"/>
      <c r="S78" s="15"/>
      <c r="T78" s="15"/>
      <c r="U78" s="245" t="s">
        <v>112</v>
      </c>
      <c r="V78" s="246" t="s">
        <v>111</v>
      </c>
      <c r="W78" s="225"/>
      <c r="X78" s="953">
        <f>+SUMIFS(COMPRAS!BG:BG,COMPRAS!BF:BF,V78,COMPRAS!DD:DD,"SI")+SUMIFS(COMPRAS!BP:BP,COMPRAS!BO:BO,V78,COMPRAS!DD:DD,"SI")+SUMIFS(COMPRAS!BY:BY,COMPRAS!BX:BX,V78,COMPRAS!DD:DD,"SI")</f>
        <v>0</v>
      </c>
      <c r="Y78" s="954"/>
      <c r="Z78" s="954"/>
      <c r="AA78" s="954"/>
      <c r="AB78" s="130"/>
      <c r="AC78" s="226"/>
      <c r="AD78" s="74"/>
      <c r="AE78" s="953">
        <f>SUMIFS(COMPRAS!BI:BI,COMPRAS!BF:BF,V78,COMPRAS!DD:DD,"SI")+SUMIFS(COMPRAS!BR:BR,COMPRAS!BO:BO,V78,COMPRAS!DD:DD,"SI")+SUMIFS(COMPRAS!CA:CA,COMPRAS!BX:BX,V78,COMPRAS!DD:DD,"SI")</f>
        <v>0</v>
      </c>
      <c r="AF78" s="954"/>
      <c r="AG78" s="954"/>
      <c r="AH78" s="954"/>
      <c r="AI78" s="14"/>
    </row>
    <row r="79" spans="1:36" ht="21" hidden="1" customHeight="1" outlineLevel="2" x14ac:dyDescent="0.35">
      <c r="A79" s="41"/>
      <c r="B79" s="15"/>
      <c r="C79" s="15"/>
      <c r="D79" s="15"/>
      <c r="E79" s="15"/>
      <c r="F79" s="15"/>
      <c r="G79" s="15"/>
      <c r="H79" s="15"/>
      <c r="I79" s="15"/>
      <c r="J79" s="15"/>
      <c r="K79" s="15"/>
      <c r="L79" s="15"/>
      <c r="M79" s="15"/>
      <c r="N79" s="15"/>
      <c r="O79" s="15"/>
      <c r="P79" s="15"/>
      <c r="Q79" s="15"/>
      <c r="R79" s="15"/>
      <c r="S79" s="15"/>
      <c r="T79" s="15"/>
      <c r="U79" s="245" t="s">
        <v>116</v>
      </c>
      <c r="V79" s="246" t="s">
        <v>115</v>
      </c>
      <c r="W79" s="225"/>
      <c r="X79" s="953">
        <f>+SUMIFS(COMPRAS!BG:BG,COMPRAS!BF:BF,V79,COMPRAS!DD:DD,"SI")+SUMIFS(COMPRAS!BP:BP,COMPRAS!BO:BO,V79,COMPRAS!DD:DD,"SI")+SUMIFS(COMPRAS!BY:BY,COMPRAS!BX:BX,V79,COMPRAS!DD:DD,"SI")</f>
        <v>0</v>
      </c>
      <c r="Y79" s="954"/>
      <c r="Z79" s="954"/>
      <c r="AA79" s="954"/>
      <c r="AB79" s="130"/>
      <c r="AC79" s="226"/>
      <c r="AD79" s="74"/>
      <c r="AE79" s="953">
        <f>SUMIFS(COMPRAS!BI:BI,COMPRAS!BF:BF,V79,COMPRAS!DD:DD,"SI")+SUMIFS(COMPRAS!BR:BR,COMPRAS!BO:BO,V79,COMPRAS!DD:DD,"SI")+SUMIFS(COMPRAS!CA:CA,COMPRAS!BX:BX,V79,COMPRAS!DD:DD,"SI")</f>
        <v>0</v>
      </c>
      <c r="AF79" s="954"/>
      <c r="AG79" s="954"/>
      <c r="AH79" s="954"/>
      <c r="AI79" s="14"/>
    </row>
    <row r="80" spans="1:36" ht="21" hidden="1" customHeight="1" outlineLevel="2" x14ac:dyDescent="0.35">
      <c r="A80" s="41"/>
      <c r="B80" s="15"/>
      <c r="C80" s="15"/>
      <c r="D80" s="15"/>
      <c r="E80" s="15"/>
      <c r="F80" s="15"/>
      <c r="G80" s="15"/>
      <c r="H80" s="15"/>
      <c r="I80" s="15"/>
      <c r="J80" s="15"/>
      <c r="K80" s="15"/>
      <c r="L80" s="15"/>
      <c r="M80" s="15"/>
      <c r="N80" s="15"/>
      <c r="O80" s="15"/>
      <c r="P80" s="15"/>
      <c r="Q80" s="15"/>
      <c r="R80" s="15"/>
      <c r="S80" s="15"/>
      <c r="T80" s="15"/>
      <c r="U80" s="245" t="s">
        <v>118</v>
      </c>
      <c r="V80" s="246" t="s">
        <v>117</v>
      </c>
      <c r="W80" s="225"/>
      <c r="X80" s="953">
        <f>+SUMIFS(COMPRAS!BG:BG,COMPRAS!BF:BF,V80,COMPRAS!DD:DD,"SI")+SUMIFS(COMPRAS!BP:BP,COMPRAS!BO:BO,V80,COMPRAS!DD:DD,"SI")+SUMIFS(COMPRAS!BY:BY,COMPRAS!BX:BX,V80,COMPRAS!DD:DD,"SI")</f>
        <v>0</v>
      </c>
      <c r="Y80" s="954"/>
      <c r="Z80" s="954"/>
      <c r="AA80" s="954"/>
      <c r="AB80" s="130"/>
      <c r="AC80" s="226"/>
      <c r="AD80" s="74"/>
      <c r="AE80" s="953">
        <f>SUMIFS(COMPRAS!BI:BI,COMPRAS!BF:BF,V80,COMPRAS!DD:DD,"SI")+SUMIFS(COMPRAS!BR:BR,COMPRAS!BO:BO,V80,COMPRAS!DD:DD,"SI")+SUMIFS(COMPRAS!CA:CA,COMPRAS!BX:BX,V80,COMPRAS!DD:DD,"SI")</f>
        <v>0</v>
      </c>
      <c r="AF80" s="954"/>
      <c r="AG80" s="954"/>
      <c r="AH80" s="954"/>
      <c r="AI80" s="14"/>
    </row>
    <row r="81" spans="1:36" ht="21" hidden="1" customHeight="1" outlineLevel="2" x14ac:dyDescent="0.35">
      <c r="A81" s="41"/>
      <c r="B81" s="15"/>
      <c r="C81" s="15"/>
      <c r="D81" s="15"/>
      <c r="E81" s="15"/>
      <c r="F81" s="15"/>
      <c r="G81" s="15"/>
      <c r="H81" s="15"/>
      <c r="I81" s="15"/>
      <c r="J81" s="15"/>
      <c r="K81" s="15"/>
      <c r="L81" s="15"/>
      <c r="M81" s="15"/>
      <c r="N81" s="15"/>
      <c r="O81" s="15"/>
      <c r="P81" s="15"/>
      <c r="Q81" s="15"/>
      <c r="R81" s="15"/>
      <c r="S81" s="15"/>
      <c r="T81" s="15"/>
      <c r="U81" s="245" t="s">
        <v>120</v>
      </c>
      <c r="V81" s="246" t="s">
        <v>119</v>
      </c>
      <c r="W81" s="225"/>
      <c r="X81" s="953">
        <f>+SUMIFS(COMPRAS!BG:BG,COMPRAS!BF:BF,V81,COMPRAS!DD:DD,"SI")+SUMIFS(COMPRAS!BP:BP,COMPRAS!BO:BO,V81,COMPRAS!DD:DD,"SI")+SUMIFS(COMPRAS!BY:BY,COMPRAS!BX:BX,V81,COMPRAS!DD:DD,"SI")</f>
        <v>0</v>
      </c>
      <c r="Y81" s="954"/>
      <c r="Z81" s="954"/>
      <c r="AA81" s="954"/>
      <c r="AB81" s="130"/>
      <c r="AC81" s="226"/>
      <c r="AD81" s="74"/>
      <c r="AE81" s="953">
        <f>SUMIFS(COMPRAS!BI:BI,COMPRAS!BF:BF,V81,COMPRAS!DD:DD,"SI")+SUMIFS(COMPRAS!BR:BR,COMPRAS!BO:BO,V81,COMPRAS!DD:DD,"SI")+SUMIFS(COMPRAS!CA:CA,COMPRAS!BX:BX,V81,COMPRAS!DD:DD,"SI")</f>
        <v>0</v>
      </c>
      <c r="AF81" s="954"/>
      <c r="AG81" s="954"/>
      <c r="AH81" s="954"/>
      <c r="AI81" s="14"/>
    </row>
    <row r="82" spans="1:36" ht="21" hidden="1" customHeight="1" outlineLevel="2" x14ac:dyDescent="0.35">
      <c r="A82" s="41"/>
      <c r="B82" s="15"/>
      <c r="C82" s="15"/>
      <c r="D82" s="15"/>
      <c r="E82" s="15"/>
      <c r="F82" s="15"/>
      <c r="G82" s="15"/>
      <c r="H82" s="15"/>
      <c r="I82" s="15"/>
      <c r="J82" s="15"/>
      <c r="K82" s="15"/>
      <c r="L82" s="15"/>
      <c r="M82" s="15"/>
      <c r="N82" s="15"/>
      <c r="O82" s="15"/>
      <c r="P82" s="15"/>
      <c r="Q82" s="15"/>
      <c r="R82" s="15"/>
      <c r="S82" s="15"/>
      <c r="T82" s="15"/>
      <c r="U82" s="245" t="s">
        <v>122</v>
      </c>
      <c r="V82" s="246" t="s">
        <v>121</v>
      </c>
      <c r="W82" s="225"/>
      <c r="X82" s="953">
        <f>+SUMIFS(COMPRAS!BG:BG,COMPRAS!BF:BF,V82,COMPRAS!DD:DD,"SI")+SUMIFS(COMPRAS!BP:BP,COMPRAS!BO:BO,V82,COMPRAS!DD:DD,"SI")+SUMIFS(COMPRAS!BY:BY,COMPRAS!BX:BX,V82,COMPRAS!DD:DD,"SI")</f>
        <v>0</v>
      </c>
      <c r="Y82" s="954"/>
      <c r="Z82" s="954"/>
      <c r="AA82" s="954"/>
      <c r="AB82" s="130"/>
      <c r="AC82" s="226"/>
      <c r="AD82" s="74"/>
      <c r="AE82" s="953">
        <f>SUMIFS(COMPRAS!BI:BI,COMPRAS!BF:BF,V82,COMPRAS!DD:DD,"SI")+SUMIFS(COMPRAS!BR:BR,COMPRAS!BO:BO,V82,COMPRAS!DD:DD,"SI")+SUMIFS(COMPRAS!CA:CA,COMPRAS!BX:BX,V82,COMPRAS!DD:DD,"SI")</f>
        <v>0</v>
      </c>
      <c r="AF82" s="954"/>
      <c r="AG82" s="954"/>
      <c r="AH82" s="954"/>
      <c r="AI82" s="14"/>
    </row>
    <row r="83" spans="1:36" ht="21" hidden="1" customHeight="1" outlineLevel="2" x14ac:dyDescent="0.35">
      <c r="A83" s="41"/>
      <c r="B83" s="15"/>
      <c r="C83" s="15"/>
      <c r="D83" s="15"/>
      <c r="E83" s="15"/>
      <c r="F83" s="15"/>
      <c r="G83" s="15"/>
      <c r="H83" s="15"/>
      <c r="I83" s="15"/>
      <c r="J83" s="15"/>
      <c r="K83" s="15"/>
      <c r="L83" s="15"/>
      <c r="M83" s="15"/>
      <c r="N83" s="15"/>
      <c r="O83" s="15"/>
      <c r="P83" s="15"/>
      <c r="Q83" s="15"/>
      <c r="R83" s="15"/>
      <c r="S83" s="15"/>
      <c r="T83" s="15"/>
      <c r="U83" s="245" t="s">
        <v>124</v>
      </c>
      <c r="V83" s="246" t="s">
        <v>123</v>
      </c>
      <c r="W83" s="225"/>
      <c r="X83" s="953">
        <f>+SUMIFS(COMPRAS!BG:BG,COMPRAS!BF:BF,V83,COMPRAS!DD:DD,"SI")+SUMIFS(COMPRAS!BP:BP,COMPRAS!BO:BO,V83,COMPRAS!DD:DD,"SI")+SUMIFS(COMPRAS!BY:BY,COMPRAS!BX:BX,V83,COMPRAS!DD:DD,"SI")</f>
        <v>0</v>
      </c>
      <c r="Y83" s="954"/>
      <c r="Z83" s="954"/>
      <c r="AA83" s="954"/>
      <c r="AB83" s="130"/>
      <c r="AC83" s="226"/>
      <c r="AD83" s="74"/>
      <c r="AE83" s="953">
        <f>SUMIFS(COMPRAS!BI:BI,COMPRAS!BF:BF,V83,COMPRAS!DD:DD,"SI")+SUMIFS(COMPRAS!BR:BR,COMPRAS!BO:BO,V83,COMPRAS!DD:DD,"SI")+SUMIFS(COMPRAS!CA:CA,COMPRAS!BX:BX,V83,COMPRAS!DD:DD,"SI")</f>
        <v>0</v>
      </c>
      <c r="AF83" s="954"/>
      <c r="AG83" s="954"/>
      <c r="AH83" s="954"/>
      <c r="AI83" s="14"/>
    </row>
    <row r="84" spans="1:36" ht="21" hidden="1" customHeight="1" outlineLevel="2" x14ac:dyDescent="0.35">
      <c r="A84" s="41"/>
      <c r="B84" s="15"/>
      <c r="C84" s="15"/>
      <c r="D84" s="15"/>
      <c r="E84" s="15"/>
      <c r="F84" s="15"/>
      <c r="G84" s="15"/>
      <c r="H84" s="15"/>
      <c r="I84" s="15"/>
      <c r="J84" s="15"/>
      <c r="K84" s="15"/>
      <c r="L84" s="15"/>
      <c r="M84" s="15"/>
      <c r="N84" s="15"/>
      <c r="O84" s="15"/>
      <c r="P84" s="15"/>
      <c r="Q84" s="15"/>
      <c r="R84" s="15"/>
      <c r="S84" s="15"/>
      <c r="T84" s="15"/>
      <c r="U84" s="245" t="s">
        <v>130</v>
      </c>
      <c r="V84" s="246" t="s">
        <v>129</v>
      </c>
      <c r="W84" s="225"/>
      <c r="X84" s="953">
        <f>+SUMIFS(COMPRAS!BG:BG,COMPRAS!BF:BF,V84,COMPRAS!DD:DD,"SI")+SUMIFS(COMPRAS!BP:BP,COMPRAS!BO:BO,V84,COMPRAS!DD:DD,"SI")+SUMIFS(COMPRAS!BY:BY,COMPRAS!BX:BX,V84,COMPRAS!DD:DD,"SI")</f>
        <v>0</v>
      </c>
      <c r="Y84" s="954"/>
      <c r="Z84" s="954"/>
      <c r="AA84" s="954"/>
      <c r="AB84" s="130"/>
      <c r="AC84" s="226"/>
      <c r="AD84" s="74"/>
      <c r="AE84" s="953">
        <f>SUMIFS(COMPRAS!BI:BI,COMPRAS!BF:BF,V84,COMPRAS!DD:DD,"SI")+SUMIFS(COMPRAS!BR:BR,COMPRAS!BO:BO,V84,COMPRAS!DD:DD,"SI")+SUMIFS(COMPRAS!CA:CA,COMPRAS!BX:BX,V84,COMPRAS!DD:DD,"SI")</f>
        <v>0</v>
      </c>
      <c r="AF84" s="954"/>
      <c r="AG84" s="954"/>
      <c r="AH84" s="954"/>
      <c r="AI84" s="14"/>
    </row>
    <row r="85" spans="1:36" ht="21" hidden="1" customHeight="1" outlineLevel="2" x14ac:dyDescent="0.35">
      <c r="A85" s="41"/>
      <c r="B85" s="15"/>
      <c r="C85" s="15"/>
      <c r="D85" s="15"/>
      <c r="E85" s="15"/>
      <c r="F85" s="15"/>
      <c r="G85" s="15"/>
      <c r="H85" s="15"/>
      <c r="I85" s="15"/>
      <c r="J85" s="15"/>
      <c r="K85" s="15"/>
      <c r="L85" s="15"/>
      <c r="M85" s="15"/>
      <c r="N85" s="15"/>
      <c r="O85" s="15"/>
      <c r="P85" s="15"/>
      <c r="Q85" s="15"/>
      <c r="R85" s="15"/>
      <c r="S85" s="15"/>
      <c r="T85" s="15"/>
      <c r="U85" s="245" t="s">
        <v>132</v>
      </c>
      <c r="V85" s="246" t="s">
        <v>131</v>
      </c>
      <c r="W85" s="225"/>
      <c r="X85" s="953">
        <f>+SUMIFS(COMPRAS!BG:BG,COMPRAS!BF:BF,V85,COMPRAS!DD:DD,"SI")+SUMIFS(COMPRAS!BP:BP,COMPRAS!BO:BO,V85,COMPRAS!DD:DD,"SI")+SUMIFS(COMPRAS!BY:BY,COMPRAS!BX:BX,V85,COMPRAS!DD:DD,"SI")</f>
        <v>0</v>
      </c>
      <c r="Y85" s="954"/>
      <c r="Z85" s="954"/>
      <c r="AA85" s="954"/>
      <c r="AB85" s="130"/>
      <c r="AC85" s="226"/>
      <c r="AD85" s="74"/>
      <c r="AE85" s="953">
        <f>SUMIFS(COMPRAS!BI:BI,COMPRAS!BF:BF,V85,COMPRAS!DD:DD,"SI")+SUMIFS(COMPRAS!BR:BR,COMPRAS!BO:BO,V85,COMPRAS!DD:DD,"SI")+SUMIFS(COMPRAS!CA:CA,COMPRAS!BX:BX,V85,COMPRAS!DD:DD,"SI")</f>
        <v>0</v>
      </c>
      <c r="AF85" s="954"/>
      <c r="AG85" s="954"/>
      <c r="AH85" s="954"/>
      <c r="AI85" s="14"/>
    </row>
    <row r="86" spans="1:36" ht="21" hidden="1" customHeight="1" outlineLevel="2" x14ac:dyDescent="0.35">
      <c r="A86" s="41"/>
      <c r="B86" s="15"/>
      <c r="C86" s="15"/>
      <c r="D86" s="15"/>
      <c r="E86" s="15"/>
      <c r="F86" s="15"/>
      <c r="G86" s="15"/>
      <c r="H86" s="15"/>
      <c r="I86" s="15"/>
      <c r="J86" s="15"/>
      <c r="K86" s="15"/>
      <c r="L86" s="15"/>
      <c r="M86" s="15"/>
      <c r="N86" s="15"/>
      <c r="O86" s="15"/>
      <c r="P86" s="15"/>
      <c r="Q86" s="15"/>
      <c r="R86" s="15"/>
      <c r="S86" s="15"/>
      <c r="T86" s="15"/>
      <c r="U86" s="245" t="s">
        <v>1044</v>
      </c>
      <c r="V86" s="246" t="s">
        <v>1043</v>
      </c>
      <c r="W86" s="225"/>
      <c r="X86" s="953">
        <f>+SUMIFS(COMPRAS!BG:BG,COMPRAS!BF:BF,V86,COMPRAS!DD:DD,"SI")+SUMIFS(COMPRAS!BP:BP,COMPRAS!BO:BO,V86,COMPRAS!DD:DD,"SI")+SUMIFS(COMPRAS!BY:BY,COMPRAS!BX:BX,V86,COMPRAS!DD:DD,"SI")</f>
        <v>0</v>
      </c>
      <c r="Y86" s="954"/>
      <c r="Z86" s="954"/>
      <c r="AA86" s="954"/>
      <c r="AB86" s="130"/>
      <c r="AC86" s="226"/>
      <c r="AD86" s="74"/>
      <c r="AE86" s="953">
        <f>SUMIFS(COMPRAS!BI:BI,COMPRAS!BF:BF,V86,COMPRAS!DD:DD,"SI")+SUMIFS(COMPRAS!BR:BR,COMPRAS!BO:BO,V86,COMPRAS!DD:DD,"SI")+SUMIFS(COMPRAS!CA:CA,COMPRAS!BX:BX,V86,COMPRAS!DD:DD,"SI")</f>
        <v>0</v>
      </c>
      <c r="AF86" s="954"/>
      <c r="AG86" s="954"/>
      <c r="AH86" s="954"/>
      <c r="AI86" s="14"/>
    </row>
    <row r="87" spans="1:36" ht="21" customHeight="1" outlineLevel="1" collapsed="1" x14ac:dyDescent="0.35">
      <c r="A87" s="41" t="s">
        <v>972</v>
      </c>
      <c r="B87" s="15"/>
      <c r="C87" s="15"/>
      <c r="D87" s="15"/>
      <c r="E87" s="15"/>
      <c r="F87" s="15"/>
      <c r="G87" s="15"/>
      <c r="H87" s="15"/>
      <c r="I87" s="15"/>
      <c r="J87" s="15"/>
      <c r="K87" s="15"/>
      <c r="L87" s="15"/>
      <c r="M87" s="15"/>
      <c r="N87" s="15"/>
      <c r="O87" s="15"/>
      <c r="P87" s="15"/>
      <c r="Q87" s="15"/>
      <c r="R87" s="15"/>
      <c r="S87" s="15"/>
      <c r="T87" s="15"/>
      <c r="U87" s="130"/>
      <c r="V87" s="54">
        <v>324</v>
      </c>
      <c r="W87" s="225" t="s">
        <v>770</v>
      </c>
      <c r="X87" s="953">
        <f>SUM(X88:AA90)</f>
        <v>0</v>
      </c>
      <c r="Y87" s="954"/>
      <c r="Z87" s="954"/>
      <c r="AA87" s="954"/>
      <c r="AB87" s="130"/>
      <c r="AC87" s="111">
        <v>374</v>
      </c>
      <c r="AD87" s="74" t="s">
        <v>770</v>
      </c>
      <c r="AE87" s="953">
        <f>SUM(AE88:AH90)</f>
        <v>0</v>
      </c>
      <c r="AF87" s="954"/>
      <c r="AG87" s="954"/>
      <c r="AH87" s="954"/>
      <c r="AI87" s="14"/>
      <c r="AJ87" s="270"/>
    </row>
    <row r="88" spans="1:36" ht="21" hidden="1" customHeight="1" outlineLevel="2" x14ac:dyDescent="0.35">
      <c r="A88" s="41"/>
      <c r="B88" s="15"/>
      <c r="C88" s="15"/>
      <c r="D88" s="15"/>
      <c r="E88" s="15"/>
      <c r="F88" s="15"/>
      <c r="G88" s="15"/>
      <c r="H88" s="15"/>
      <c r="I88" s="15"/>
      <c r="J88" s="15"/>
      <c r="K88" s="15"/>
      <c r="L88" s="15"/>
      <c r="M88" s="15"/>
      <c r="N88" s="15"/>
      <c r="O88" s="15"/>
      <c r="P88" s="15"/>
      <c r="Q88" s="15"/>
      <c r="R88" s="15"/>
      <c r="S88" s="15"/>
      <c r="T88" s="15"/>
      <c r="U88" s="245" t="s">
        <v>136</v>
      </c>
      <c r="V88" s="246" t="s">
        <v>135</v>
      </c>
      <c r="W88" s="225"/>
      <c r="X88" s="953">
        <f>+SUMIFS(COMPRAS!BG:BG,COMPRAS!BF:BF,V88,COMPRAS!DD:DD,"SI")+SUMIFS(COMPRAS!BP:BP,COMPRAS!BO:BO,V88,COMPRAS!DD:DD,"SI")+SUMIFS(COMPRAS!BY:BY,COMPRAS!BX:BX,V88,COMPRAS!DD:DD,"SI")</f>
        <v>0</v>
      </c>
      <c r="Y88" s="954"/>
      <c r="Z88" s="954"/>
      <c r="AA88" s="954"/>
      <c r="AB88" s="130"/>
      <c r="AC88" s="226"/>
      <c r="AD88" s="74"/>
      <c r="AE88" s="953">
        <f>SUMIFS(COMPRAS!BI:BI,COMPRAS!BF:BF,V88,COMPRAS!DD:DD,"SI")+SUMIFS(COMPRAS!BR:BR,COMPRAS!BO:BO,V88,COMPRAS!DD:DD,"SI")+SUMIFS(COMPRAS!CA:CA,COMPRAS!BX:BX,V88,COMPRAS!DD:DD,"SI")</f>
        <v>0</v>
      </c>
      <c r="AF88" s="954"/>
      <c r="AG88" s="954"/>
      <c r="AH88" s="954"/>
      <c r="AI88" s="14"/>
    </row>
    <row r="89" spans="1:36" ht="21" hidden="1" customHeight="1" outlineLevel="2" x14ac:dyDescent="0.35">
      <c r="A89" s="41"/>
      <c r="B89" s="15"/>
      <c r="C89" s="15"/>
      <c r="D89" s="15"/>
      <c r="E89" s="15"/>
      <c r="F89" s="15"/>
      <c r="G89" s="15"/>
      <c r="H89" s="15"/>
      <c r="I89" s="15"/>
      <c r="J89" s="15"/>
      <c r="K89" s="15"/>
      <c r="L89" s="15"/>
      <c r="M89" s="15"/>
      <c r="N89" s="15"/>
      <c r="O89" s="15"/>
      <c r="P89" s="15"/>
      <c r="Q89" s="15"/>
      <c r="R89" s="15"/>
      <c r="S89" s="15"/>
      <c r="T89" s="15"/>
      <c r="U89" s="245" t="s">
        <v>138</v>
      </c>
      <c r="V89" s="246" t="s">
        <v>137</v>
      </c>
      <c r="W89" s="225"/>
      <c r="X89" s="953">
        <f>+SUMIFS(COMPRAS!BG:BG,COMPRAS!BF:BF,V89,COMPRAS!DD:DD,"SI")+SUMIFS(COMPRAS!BP:BP,COMPRAS!BO:BO,V89,COMPRAS!DD:DD,"SI")+SUMIFS(COMPRAS!BY:BY,COMPRAS!BX:BX,V89,COMPRAS!DD:DD,"SI")</f>
        <v>0</v>
      </c>
      <c r="Y89" s="954"/>
      <c r="Z89" s="954"/>
      <c r="AA89" s="954"/>
      <c r="AB89" s="130"/>
      <c r="AC89" s="226"/>
      <c r="AD89" s="74"/>
      <c r="AE89" s="953">
        <f>SUMIFS(COMPRAS!BI:BI,COMPRAS!BF:BF,V89,COMPRAS!DD:DD,"SI")+SUMIFS(COMPRAS!BR:BR,COMPRAS!BO:BO,V89,COMPRAS!DD:DD,"SI")+SUMIFS(COMPRAS!CA:CA,COMPRAS!BX:BX,V89,COMPRAS!DD:DD,"SI")</f>
        <v>0</v>
      </c>
      <c r="AF89" s="954"/>
      <c r="AG89" s="954"/>
      <c r="AH89" s="954"/>
      <c r="AI89" s="14"/>
    </row>
    <row r="90" spans="1:36" ht="21" hidden="1" customHeight="1" outlineLevel="2" x14ac:dyDescent="0.35">
      <c r="A90" s="41"/>
      <c r="B90" s="15"/>
      <c r="C90" s="15"/>
      <c r="D90" s="15"/>
      <c r="E90" s="15"/>
      <c r="F90" s="15"/>
      <c r="G90" s="15"/>
      <c r="H90" s="15"/>
      <c r="I90" s="15"/>
      <c r="J90" s="15"/>
      <c r="K90" s="15"/>
      <c r="L90" s="15"/>
      <c r="M90" s="15"/>
      <c r="N90" s="15"/>
      <c r="O90" s="15"/>
      <c r="P90" s="15"/>
      <c r="Q90" s="15"/>
      <c r="R90" s="15"/>
      <c r="S90" s="15"/>
      <c r="T90" s="15"/>
      <c r="U90" s="245" t="s">
        <v>1050</v>
      </c>
      <c r="V90" s="246" t="s">
        <v>1049</v>
      </c>
      <c r="W90" s="225"/>
      <c r="X90" s="953">
        <f>+SUMIFS(COMPRAS!BG:BG,COMPRAS!BF:BF,V90,COMPRAS!DD:DD,"SI")+SUMIFS(COMPRAS!BP:BP,COMPRAS!BO:BO,V90,COMPRAS!DD:DD,"SI")+SUMIFS(COMPRAS!BY:BY,COMPRAS!BX:BX,V90,COMPRAS!DD:DD,"SI")</f>
        <v>0</v>
      </c>
      <c r="Y90" s="954"/>
      <c r="Z90" s="954"/>
      <c r="AA90" s="954"/>
      <c r="AB90" s="130"/>
      <c r="AC90" s="226"/>
      <c r="AD90" s="74"/>
      <c r="AE90" s="953">
        <f>SUMIFS(COMPRAS!BI:BI,COMPRAS!BF:BF,V90,COMPRAS!DD:DD,"SI")+SUMIFS(COMPRAS!BR:BR,COMPRAS!BO:BO,V90,COMPRAS!DD:DD,"SI")+SUMIFS(COMPRAS!CA:CA,COMPRAS!BX:BX,V90,COMPRAS!DD:DD,"SI")</f>
        <v>0</v>
      </c>
      <c r="AF90" s="954"/>
      <c r="AG90" s="954"/>
      <c r="AH90" s="954"/>
      <c r="AI90" s="14"/>
    </row>
    <row r="91" spans="1:36" ht="21" customHeight="1" outlineLevel="1" collapsed="1" x14ac:dyDescent="0.35">
      <c r="A91" s="41" t="s">
        <v>2258</v>
      </c>
      <c r="B91" s="15"/>
      <c r="C91" s="15"/>
      <c r="D91" s="15"/>
      <c r="E91" s="15"/>
      <c r="F91" s="15"/>
      <c r="G91" s="15"/>
      <c r="H91" s="15"/>
      <c r="I91" s="15"/>
      <c r="J91" s="15"/>
      <c r="K91" s="15"/>
      <c r="L91" s="15"/>
      <c r="M91" s="15"/>
      <c r="N91" s="15"/>
      <c r="O91" s="15"/>
      <c r="P91" s="15"/>
      <c r="Q91" s="15"/>
      <c r="R91" s="15"/>
      <c r="S91" s="15"/>
      <c r="T91" s="15"/>
      <c r="U91" s="130"/>
      <c r="V91" s="54">
        <v>3230</v>
      </c>
      <c r="W91" s="225" t="s">
        <v>770</v>
      </c>
      <c r="X91" s="953">
        <f>SUM(X92:AA97)</f>
        <v>0</v>
      </c>
      <c r="Y91" s="954"/>
      <c r="Z91" s="954"/>
      <c r="AA91" s="954"/>
      <c r="AB91" s="130"/>
      <c r="AC91" s="960"/>
      <c r="AD91" s="961"/>
      <c r="AE91" s="961"/>
      <c r="AF91" s="961"/>
      <c r="AG91" s="961"/>
      <c r="AH91" s="961"/>
      <c r="AI91" s="962"/>
      <c r="AJ91" s="270"/>
    </row>
    <row r="92" spans="1:36" ht="21" hidden="1" customHeight="1" outlineLevel="2" x14ac:dyDescent="0.35">
      <c r="A92" s="41"/>
      <c r="B92" s="15"/>
      <c r="C92" s="15"/>
      <c r="D92" s="15"/>
      <c r="E92" s="15"/>
      <c r="F92" s="15"/>
      <c r="G92" s="15"/>
      <c r="H92" s="15"/>
      <c r="I92" s="15"/>
      <c r="J92" s="15"/>
      <c r="K92" s="15"/>
      <c r="L92" s="15"/>
      <c r="M92" s="15"/>
      <c r="N92" s="15"/>
      <c r="O92" s="15"/>
      <c r="P92" s="15"/>
      <c r="Q92" s="15"/>
      <c r="R92" s="15"/>
      <c r="S92" s="15"/>
      <c r="T92" s="15"/>
      <c r="U92" s="245" t="s">
        <v>114</v>
      </c>
      <c r="V92" s="246" t="s">
        <v>113</v>
      </c>
      <c r="W92" s="225"/>
      <c r="X92" s="953">
        <f>+SUMIFS(COMPRAS!BG:BG,COMPRAS!BF:BF,V92,COMPRAS!DD:DD,"SI")+SUMIFS(COMPRAS!BP:BP,COMPRAS!BO:BO,V92,COMPRAS!DD:DD,"SI")+SUMIFS(COMPRAS!BY:BY,COMPRAS!BX:BX,V92,COMPRAS!DD:DD,"SI")</f>
        <v>0</v>
      </c>
      <c r="Y92" s="954"/>
      <c r="Z92" s="954"/>
      <c r="AA92" s="954"/>
      <c r="AB92" s="130"/>
      <c r="AC92" s="1090"/>
      <c r="AD92" s="1091"/>
      <c r="AE92" s="1091"/>
      <c r="AF92" s="1091"/>
      <c r="AG92" s="1091"/>
      <c r="AH92" s="1091"/>
      <c r="AI92" s="1092"/>
    </row>
    <row r="93" spans="1:36" ht="21" hidden="1" customHeight="1" outlineLevel="2" x14ac:dyDescent="0.35">
      <c r="A93" s="41"/>
      <c r="B93" s="15"/>
      <c r="C93" s="15"/>
      <c r="D93" s="15"/>
      <c r="E93" s="15"/>
      <c r="F93" s="15"/>
      <c r="G93" s="15"/>
      <c r="H93" s="15"/>
      <c r="I93" s="15"/>
      <c r="J93" s="15"/>
      <c r="K93" s="15"/>
      <c r="L93" s="15"/>
      <c r="M93" s="15"/>
      <c r="N93" s="15"/>
      <c r="O93" s="15"/>
      <c r="P93" s="15"/>
      <c r="Q93" s="15"/>
      <c r="R93" s="15"/>
      <c r="S93" s="15"/>
      <c r="T93" s="15"/>
      <c r="U93" s="245" t="s">
        <v>126</v>
      </c>
      <c r="V93" s="246" t="s">
        <v>125</v>
      </c>
      <c r="W93" s="225"/>
      <c r="X93" s="953">
        <f>+SUMIFS(COMPRAS!BG:BG,COMPRAS!BF:BF,V93,COMPRAS!DD:DD,"SI")+SUMIFS(COMPRAS!BP:BP,COMPRAS!BO:BO,V93,COMPRAS!DD:DD,"SI")+SUMIFS(COMPRAS!BY:BY,COMPRAS!BX:BX,V93,COMPRAS!DD:DD,"SI")</f>
        <v>0</v>
      </c>
      <c r="Y93" s="954"/>
      <c r="Z93" s="954"/>
      <c r="AA93" s="954"/>
      <c r="AB93" s="130"/>
      <c r="AC93" s="971"/>
      <c r="AD93" s="972"/>
      <c r="AE93" s="972"/>
      <c r="AF93" s="972"/>
      <c r="AG93" s="972"/>
      <c r="AH93" s="972"/>
      <c r="AI93" s="973"/>
    </row>
    <row r="94" spans="1:36" ht="21" hidden="1" customHeight="1" outlineLevel="2" x14ac:dyDescent="0.35">
      <c r="A94" s="41"/>
      <c r="B94" s="15"/>
      <c r="C94" s="15"/>
      <c r="D94" s="15"/>
      <c r="E94" s="15"/>
      <c r="F94" s="15"/>
      <c r="G94" s="15"/>
      <c r="H94" s="15"/>
      <c r="I94" s="15"/>
      <c r="J94" s="15"/>
      <c r="K94" s="15"/>
      <c r="L94" s="15"/>
      <c r="M94" s="15"/>
      <c r="N94" s="15"/>
      <c r="O94" s="15"/>
      <c r="P94" s="15"/>
      <c r="Q94" s="15"/>
      <c r="R94" s="15"/>
      <c r="S94" s="15"/>
      <c r="T94" s="15"/>
      <c r="U94" s="245" t="s">
        <v>128</v>
      </c>
      <c r="V94" s="246" t="s">
        <v>127</v>
      </c>
      <c r="W94" s="225"/>
      <c r="X94" s="953">
        <f>+SUMIFS(COMPRAS!BG:BG,COMPRAS!BF:BF,V94,COMPRAS!DD:DD,"SI")+SUMIFS(COMPRAS!BP:BP,COMPRAS!BO:BO,V94,COMPRAS!DD:DD,"SI")+SUMIFS(COMPRAS!BY:BY,COMPRAS!BX:BX,V94,COMPRAS!DD:DD,"SI")</f>
        <v>0</v>
      </c>
      <c r="Y94" s="954"/>
      <c r="Z94" s="954"/>
      <c r="AA94" s="954"/>
      <c r="AB94" s="130"/>
      <c r="AC94" s="971"/>
      <c r="AD94" s="972"/>
      <c r="AE94" s="972"/>
      <c r="AF94" s="972"/>
      <c r="AG94" s="972"/>
      <c r="AH94" s="972"/>
      <c r="AI94" s="973"/>
    </row>
    <row r="95" spans="1:36" ht="21" hidden="1" customHeight="1" outlineLevel="2" x14ac:dyDescent="0.35">
      <c r="A95" s="41"/>
      <c r="B95" s="15"/>
      <c r="C95" s="15"/>
      <c r="D95" s="15"/>
      <c r="E95" s="15"/>
      <c r="F95" s="15"/>
      <c r="G95" s="15"/>
      <c r="H95" s="15"/>
      <c r="I95" s="15"/>
      <c r="J95" s="15"/>
      <c r="K95" s="15"/>
      <c r="L95" s="15"/>
      <c r="M95" s="15"/>
      <c r="N95" s="15"/>
      <c r="O95" s="15"/>
      <c r="P95" s="15"/>
      <c r="Q95" s="15"/>
      <c r="R95" s="15"/>
      <c r="S95" s="15"/>
      <c r="T95" s="15"/>
      <c r="U95" s="245" t="s">
        <v>134</v>
      </c>
      <c r="V95" s="246" t="s">
        <v>133</v>
      </c>
      <c r="W95" s="225"/>
      <c r="X95" s="953">
        <f>+SUMIFS(COMPRAS!BG:BG,COMPRAS!BF:BF,V95,COMPRAS!DD:DD,"SI")+SUMIFS(COMPRAS!BP:BP,COMPRAS!BO:BO,V95,COMPRAS!DD:DD,"SI")+SUMIFS(COMPRAS!BY:BY,COMPRAS!BX:BX,V95,COMPRAS!DD:DD,"SI")</f>
        <v>0</v>
      </c>
      <c r="Y95" s="954"/>
      <c r="Z95" s="954"/>
      <c r="AA95" s="954"/>
      <c r="AB95" s="130"/>
      <c r="AC95" s="971"/>
      <c r="AD95" s="972"/>
      <c r="AE95" s="972"/>
      <c r="AF95" s="972"/>
      <c r="AG95" s="972"/>
      <c r="AH95" s="972"/>
      <c r="AI95" s="973"/>
    </row>
    <row r="96" spans="1:36" ht="21" hidden="1" customHeight="1" outlineLevel="2" x14ac:dyDescent="0.35">
      <c r="A96" s="41"/>
      <c r="B96" s="15"/>
      <c r="C96" s="15"/>
      <c r="D96" s="15"/>
      <c r="E96" s="15"/>
      <c r="F96" s="15"/>
      <c r="G96" s="15"/>
      <c r="H96" s="15"/>
      <c r="I96" s="15"/>
      <c r="J96" s="15"/>
      <c r="K96" s="15"/>
      <c r="L96" s="15"/>
      <c r="M96" s="15"/>
      <c r="N96" s="15"/>
      <c r="O96" s="15"/>
      <c r="P96" s="15"/>
      <c r="Q96" s="15"/>
      <c r="R96" s="15"/>
      <c r="S96" s="15"/>
      <c r="T96" s="15"/>
      <c r="U96" s="245" t="s">
        <v>1046</v>
      </c>
      <c r="V96" s="246" t="s">
        <v>1045</v>
      </c>
      <c r="W96" s="225"/>
      <c r="X96" s="953">
        <f>+SUMIFS(COMPRAS!BG:BG,COMPRAS!BF:BF,V96,COMPRAS!DD:DD,"SI")+SUMIFS(COMPRAS!BP:BP,COMPRAS!BO:BO,V96,COMPRAS!DD:DD,"SI")+SUMIFS(COMPRAS!BY:BY,COMPRAS!BX:BX,V96,COMPRAS!DD:DD,"SI")</f>
        <v>0</v>
      </c>
      <c r="Y96" s="954"/>
      <c r="Z96" s="954"/>
      <c r="AA96" s="954"/>
      <c r="AB96" s="130"/>
      <c r="AC96" s="971"/>
      <c r="AD96" s="972"/>
      <c r="AE96" s="972"/>
      <c r="AF96" s="972"/>
      <c r="AG96" s="972"/>
      <c r="AH96" s="972"/>
      <c r="AI96" s="973"/>
    </row>
    <row r="97" spans="1:41" ht="21" hidden="1" customHeight="1" outlineLevel="2" x14ac:dyDescent="0.35">
      <c r="A97" s="41"/>
      <c r="B97" s="15"/>
      <c r="C97" s="15"/>
      <c r="D97" s="15"/>
      <c r="E97" s="15"/>
      <c r="F97" s="15"/>
      <c r="G97" s="15"/>
      <c r="H97" s="15"/>
      <c r="I97" s="15"/>
      <c r="J97" s="15"/>
      <c r="K97" s="15"/>
      <c r="L97" s="15"/>
      <c r="M97" s="15"/>
      <c r="N97" s="15"/>
      <c r="O97" s="15"/>
      <c r="P97" s="15"/>
      <c r="Q97" s="15"/>
      <c r="R97" s="15"/>
      <c r="S97" s="15"/>
      <c r="T97" s="15"/>
      <c r="U97" s="245" t="s">
        <v>1048</v>
      </c>
      <c r="V97" s="246" t="s">
        <v>1047</v>
      </c>
      <c r="W97" s="225"/>
      <c r="X97" s="953">
        <f>+SUMIFS(COMPRAS!BG:BG,COMPRAS!BF:BF,V97,COMPRAS!DD:DD,"SI")+SUMIFS(COMPRAS!BP:BP,COMPRAS!BO:BO,V97,COMPRAS!DD:DD,"SI")+SUMIFS(COMPRAS!BY:BY,COMPRAS!BX:BX,V97,COMPRAS!DD:DD,"SI")</f>
        <v>0</v>
      </c>
      <c r="Y97" s="954"/>
      <c r="Z97" s="954"/>
      <c r="AA97" s="954"/>
      <c r="AB97" s="130"/>
      <c r="AC97" s="960"/>
      <c r="AD97" s="961"/>
      <c r="AE97" s="961"/>
      <c r="AF97" s="961"/>
      <c r="AG97" s="961"/>
      <c r="AH97" s="961"/>
      <c r="AI97" s="962"/>
    </row>
    <row r="98" spans="1:41" ht="21" customHeight="1" outlineLevel="1" collapsed="1" x14ac:dyDescent="0.35">
      <c r="A98" s="1081" t="s">
        <v>1248</v>
      </c>
      <c r="B98" s="1082"/>
      <c r="C98" s="1083"/>
      <c r="D98" s="15" t="s">
        <v>971</v>
      </c>
      <c r="E98" s="15"/>
      <c r="F98" s="15"/>
      <c r="G98" s="15"/>
      <c r="H98" s="15"/>
      <c r="I98" s="15"/>
      <c r="J98" s="15"/>
      <c r="K98" s="15"/>
      <c r="L98" s="15"/>
      <c r="M98" s="15"/>
      <c r="N98" s="15"/>
      <c r="O98" s="15"/>
      <c r="P98" s="15"/>
      <c r="Q98" s="15"/>
      <c r="R98" s="15"/>
      <c r="S98" s="15"/>
      <c r="T98" s="15"/>
      <c r="U98" s="130"/>
      <c r="V98" s="54">
        <v>325</v>
      </c>
      <c r="W98" s="225" t="s">
        <v>770</v>
      </c>
      <c r="X98" s="953">
        <f>SUM(X99:AA100)</f>
        <v>0</v>
      </c>
      <c r="Y98" s="954"/>
      <c r="Z98" s="954"/>
      <c r="AA98" s="954"/>
      <c r="AB98" s="130"/>
      <c r="AC98" s="111">
        <v>375</v>
      </c>
      <c r="AD98" s="74" t="s">
        <v>770</v>
      </c>
      <c r="AE98" s="955">
        <f>SUM(AE99:AH100)</f>
        <v>0</v>
      </c>
      <c r="AF98" s="956"/>
      <c r="AG98" s="956"/>
      <c r="AH98" s="956"/>
      <c r="AI98" s="206"/>
      <c r="AJ98" s="270"/>
    </row>
    <row r="99" spans="1:41" ht="21" hidden="1" customHeight="1" outlineLevel="2" x14ac:dyDescent="0.35">
      <c r="A99" s="1077"/>
      <c r="B99" s="989"/>
      <c r="C99" s="997"/>
      <c r="D99" s="15"/>
      <c r="E99" s="15"/>
      <c r="F99" s="15"/>
      <c r="G99" s="15"/>
      <c r="H99" s="15"/>
      <c r="I99" s="15"/>
      <c r="J99" s="15"/>
      <c r="K99" s="15"/>
      <c r="L99" s="15"/>
      <c r="M99" s="15"/>
      <c r="N99" s="15"/>
      <c r="O99" s="15"/>
      <c r="P99" s="15"/>
      <c r="Q99" s="15"/>
      <c r="R99" s="15"/>
      <c r="S99" s="15"/>
      <c r="T99" s="15"/>
      <c r="U99" s="245" t="s">
        <v>139</v>
      </c>
      <c r="V99" s="246">
        <v>325</v>
      </c>
      <c r="W99" s="225"/>
      <c r="X99" s="953">
        <f>+SUMIFS(COMPRAS!BG:BG,COMPRAS!BF:BF,V99,COMPRAS!DD:DD,"SI")+SUMIFS(COMPRAS!BP:BP,COMPRAS!BO:BO,V99,COMPRAS!DD:DD,"SI")+SUMIFS(COMPRAS!BY:BY,COMPRAS!BX:BX,V99,COMPRAS!DD:DD,"SI")</f>
        <v>0</v>
      </c>
      <c r="Y99" s="954"/>
      <c r="Z99" s="954"/>
      <c r="AA99" s="954"/>
      <c r="AB99" s="130"/>
      <c r="AC99" s="226"/>
      <c r="AD99" s="74"/>
      <c r="AE99" s="953">
        <f>SUMIFS(COMPRAS!BI:BI,COMPRAS!BF:BF,V99,COMPRAS!DD:DD,"SI")+SUMIFS(COMPRAS!BR:BR,COMPRAS!BO:BO,V99,COMPRAS!DD:DD,"SI")+SUMIFS(COMPRAS!CA:CA,COMPRAS!BX:BX,V99,COMPRAS!DD:DD,"SI")</f>
        <v>0</v>
      </c>
      <c r="AF99" s="954"/>
      <c r="AG99" s="954"/>
      <c r="AH99" s="954"/>
      <c r="AI99" s="14"/>
    </row>
    <row r="100" spans="1:41" ht="21" hidden="1" customHeight="1" outlineLevel="2" x14ac:dyDescent="0.35">
      <c r="A100" s="1077"/>
      <c r="B100" s="989"/>
      <c r="C100" s="997"/>
      <c r="D100" s="15"/>
      <c r="E100" s="15"/>
      <c r="F100" s="15"/>
      <c r="G100" s="15"/>
      <c r="H100" s="15"/>
      <c r="I100" s="15"/>
      <c r="J100" s="15"/>
      <c r="K100" s="15"/>
      <c r="L100" s="15"/>
      <c r="M100" s="15"/>
      <c r="N100" s="15"/>
      <c r="O100" s="15"/>
      <c r="P100" s="15"/>
      <c r="Q100" s="15"/>
      <c r="R100" s="15"/>
      <c r="S100" s="15"/>
      <c r="T100" s="15"/>
      <c r="U100" s="245" t="s">
        <v>141</v>
      </c>
      <c r="V100" s="246" t="s">
        <v>140</v>
      </c>
      <c r="W100" s="225"/>
      <c r="X100" s="953">
        <f>+SUMIFS(COMPRAS!BG:BG,COMPRAS!BF:BF,V100,COMPRAS!DD:DD,"SI")+SUMIFS(COMPRAS!BP:BP,COMPRAS!BO:BO,V100,COMPRAS!DD:DD,"SI")+SUMIFS(COMPRAS!BY:BY,COMPRAS!BX:BX,V100,COMPRAS!DD:DD,"SI")</f>
        <v>0</v>
      </c>
      <c r="Y100" s="954"/>
      <c r="Z100" s="954"/>
      <c r="AA100" s="954"/>
      <c r="AB100" s="130"/>
      <c r="AC100" s="226"/>
      <c r="AD100" s="74"/>
      <c r="AE100" s="953">
        <f>SUMIFS(COMPRAS!BI:BI,COMPRAS!BF:BF,V100,COMPRAS!DD:DD,"SI")+SUMIFS(COMPRAS!BR:BR,COMPRAS!BO:BO,V100,COMPRAS!DD:DD,"SI")+SUMIFS(COMPRAS!CA:CA,COMPRAS!BX:BX,V100,COMPRAS!DD:DD,"SI")</f>
        <v>0</v>
      </c>
      <c r="AF100" s="954"/>
      <c r="AG100" s="954"/>
      <c r="AH100" s="954"/>
      <c r="AI100" s="14"/>
    </row>
    <row r="101" spans="1:41" ht="21" customHeight="1" outlineLevel="1" collapsed="1" x14ac:dyDescent="0.35">
      <c r="A101" s="1077"/>
      <c r="B101" s="989"/>
      <c r="C101" s="997"/>
      <c r="D101" s="37" t="s">
        <v>2426</v>
      </c>
      <c r="E101" s="37"/>
      <c r="F101" s="15"/>
      <c r="G101" s="15"/>
      <c r="H101" s="15"/>
      <c r="I101" s="15"/>
      <c r="J101" s="15"/>
      <c r="K101" s="15"/>
      <c r="L101" s="15"/>
      <c r="M101" s="15"/>
      <c r="N101" s="15"/>
      <c r="O101" s="15"/>
      <c r="P101" s="15"/>
      <c r="Q101" s="15"/>
      <c r="R101" s="15"/>
      <c r="S101" s="15"/>
      <c r="T101" s="15"/>
      <c r="U101" s="245"/>
      <c r="V101" s="54">
        <v>3250</v>
      </c>
      <c r="W101" s="225" t="s">
        <v>770</v>
      </c>
      <c r="X101" s="953">
        <f>+SUMIFS(COMPRAS!BG:BG,COMPRAS!BF:BF,V101,COMPRAS!DD:DD,"SI")+SUMIFS(COMPRAS!BP:BP,COMPRAS!BO:BO,V101,COMPRAS!DD:DD,"SI")+SUMIFS(COMPRAS!BY:BY,COMPRAS!BX:BX,V101,COMPRAS!DD:DD,"SI")</f>
        <v>0</v>
      </c>
      <c r="Y101" s="954"/>
      <c r="Z101" s="954"/>
      <c r="AA101" s="954"/>
      <c r="AB101" s="130"/>
      <c r="AC101" s="960"/>
      <c r="AD101" s="961"/>
      <c r="AE101" s="961"/>
      <c r="AF101" s="961"/>
      <c r="AG101" s="961"/>
      <c r="AH101" s="961"/>
      <c r="AI101" s="962"/>
      <c r="AJ101" s="270"/>
      <c r="AO101" s="919"/>
    </row>
    <row r="102" spans="1:41" ht="21" customHeight="1" outlineLevel="1" x14ac:dyDescent="0.35">
      <c r="A102" s="1077"/>
      <c r="B102" s="989"/>
      <c r="C102" s="997"/>
      <c r="D102" s="37" t="s">
        <v>970</v>
      </c>
      <c r="E102" s="37"/>
      <c r="F102" s="15"/>
      <c r="G102" s="15"/>
      <c r="H102" s="15"/>
      <c r="I102" s="15"/>
      <c r="J102" s="15"/>
      <c r="K102" s="15"/>
      <c r="L102" s="15"/>
      <c r="M102" s="15"/>
      <c r="N102" s="15"/>
      <c r="O102" s="15"/>
      <c r="P102" s="15"/>
      <c r="Q102" s="15"/>
      <c r="R102" s="15"/>
      <c r="S102" s="15"/>
      <c r="T102" s="15"/>
      <c r="U102" s="245"/>
      <c r="V102" s="54">
        <v>326</v>
      </c>
      <c r="W102" s="225" t="s">
        <v>770</v>
      </c>
      <c r="X102" s="953">
        <f>+SUMIFS(COMPRAS!BG:BG,COMPRAS!BF:BF,V102,COMPRAS!DD:DD,"SI")+SUMIFS(COMPRAS!BP:BP,COMPRAS!BO:BO,V102,COMPRAS!DD:DD,"SI")+SUMIFS(COMPRAS!BY:BY,COMPRAS!BX:BX,V102,COMPRAS!DD:DD,"SI")</f>
        <v>0</v>
      </c>
      <c r="Y102" s="954"/>
      <c r="Z102" s="954"/>
      <c r="AA102" s="954"/>
      <c r="AB102" s="130"/>
      <c r="AC102" s="226">
        <v>376</v>
      </c>
      <c r="AD102" s="74" t="s">
        <v>770</v>
      </c>
      <c r="AE102" s="953">
        <f>SUMIFS(COMPRAS!BI:BI,COMPRAS!BF:BF,V102,COMPRAS!DD:DD,"SI")+SUMIFS(COMPRAS!BR:BR,COMPRAS!BO:BO,V102,COMPRAS!DD:DD,"SI")+SUMIFS(COMPRAS!CA:CA,COMPRAS!BX:BX,V102,COMPRAS!DD:DD,"SI")</f>
        <v>0</v>
      </c>
      <c r="AF102" s="954"/>
      <c r="AG102" s="954"/>
      <c r="AH102" s="954"/>
      <c r="AI102" s="14"/>
      <c r="AJ102" s="270"/>
    </row>
    <row r="103" spans="1:41" ht="21" customHeight="1" outlineLevel="1" x14ac:dyDescent="0.35">
      <c r="A103" s="1077"/>
      <c r="B103" s="989"/>
      <c r="C103" s="997"/>
      <c r="D103" s="37" t="s">
        <v>969</v>
      </c>
      <c r="E103" s="37"/>
      <c r="F103" s="15"/>
      <c r="G103" s="15"/>
      <c r="H103" s="15"/>
      <c r="I103" s="15"/>
      <c r="J103" s="15"/>
      <c r="K103" s="15"/>
      <c r="L103" s="15"/>
      <c r="M103" s="15"/>
      <c r="N103" s="15"/>
      <c r="O103" s="15"/>
      <c r="P103" s="15"/>
      <c r="Q103" s="15"/>
      <c r="R103" s="15"/>
      <c r="S103" s="15"/>
      <c r="T103" s="15"/>
      <c r="U103" s="245"/>
      <c r="V103" s="54">
        <v>327</v>
      </c>
      <c r="W103" s="225" t="s">
        <v>770</v>
      </c>
      <c r="X103" s="953">
        <f>+SUMIFS(COMPRAS!BG:BG,COMPRAS!BF:BF,V103,COMPRAS!DD:DD,"SI")+SUMIFS(COMPRAS!BP:BP,COMPRAS!BO:BO,V103,COMPRAS!DD:DD,"SI")+SUMIFS(COMPRAS!BY:BY,COMPRAS!BX:BX,V103,COMPRAS!DD:DD,"SI")</f>
        <v>0</v>
      </c>
      <c r="Y103" s="954"/>
      <c r="Z103" s="954"/>
      <c r="AA103" s="954"/>
      <c r="AB103" s="130"/>
      <c r="AC103" s="226">
        <v>377</v>
      </c>
      <c r="AD103" s="74" t="s">
        <v>770</v>
      </c>
      <c r="AE103" s="953">
        <f>SUMIFS(COMPRAS!BI:BI,COMPRAS!BF:BF,V103,COMPRAS!DD:DD,"SI")+SUMIFS(COMPRAS!BR:BR,COMPRAS!BO:BO,V103,COMPRAS!DD:DD,"SI")+SUMIFS(COMPRAS!CA:CA,COMPRAS!BX:BX,V103,COMPRAS!DD:DD,"SI")</f>
        <v>0</v>
      </c>
      <c r="AF103" s="954"/>
      <c r="AG103" s="954"/>
      <c r="AH103" s="954"/>
      <c r="AI103" s="14"/>
      <c r="AJ103" s="270"/>
    </row>
    <row r="104" spans="1:41" ht="21" customHeight="1" outlineLevel="1" x14ac:dyDescent="0.35">
      <c r="A104" s="1077"/>
      <c r="B104" s="989"/>
      <c r="C104" s="997"/>
      <c r="D104" s="37" t="s">
        <v>968</v>
      </c>
      <c r="E104" s="37"/>
      <c r="F104" s="15"/>
      <c r="G104" s="15"/>
      <c r="H104" s="15"/>
      <c r="I104" s="15"/>
      <c r="J104" s="15"/>
      <c r="K104" s="15"/>
      <c r="L104" s="15"/>
      <c r="M104" s="15"/>
      <c r="N104" s="15"/>
      <c r="O104" s="15"/>
      <c r="P104" s="15"/>
      <c r="Q104" s="15"/>
      <c r="R104" s="15"/>
      <c r="S104" s="15"/>
      <c r="T104" s="15"/>
      <c r="U104" s="245"/>
      <c r="V104" s="54">
        <v>328</v>
      </c>
      <c r="W104" s="225" t="s">
        <v>770</v>
      </c>
      <c r="X104" s="953">
        <f>+SUMIFS(COMPRAS!BG:BG,COMPRAS!BF:BF,V104,COMPRAS!DD:DD,"SI")+SUMIFS(COMPRAS!BP:BP,COMPRAS!BO:BO,V104,COMPRAS!DD:DD,"SI")+SUMIFS(COMPRAS!BY:BY,COMPRAS!BX:BX,V104,COMPRAS!DD:DD,"SI")</f>
        <v>0</v>
      </c>
      <c r="Y104" s="954"/>
      <c r="Z104" s="954"/>
      <c r="AA104" s="954"/>
      <c r="AB104" s="130"/>
      <c r="AC104" s="226">
        <v>378</v>
      </c>
      <c r="AD104" s="74" t="s">
        <v>770</v>
      </c>
      <c r="AE104" s="953">
        <f>SUMIFS(COMPRAS!BI:BI,COMPRAS!BF:BF,V104,COMPRAS!DD:DD,"SI")+SUMIFS(COMPRAS!BR:BR,COMPRAS!BO:BO,V104,COMPRAS!DD:DD,"SI")+SUMIFS(COMPRAS!CA:CA,COMPRAS!BX:BX,V104,COMPRAS!DD:DD,"SI")</f>
        <v>0</v>
      </c>
      <c r="AF104" s="954"/>
      <c r="AG104" s="954"/>
      <c r="AH104" s="954"/>
      <c r="AI104" s="14"/>
      <c r="AJ104" s="270"/>
    </row>
    <row r="105" spans="1:41" ht="21" customHeight="1" outlineLevel="1" x14ac:dyDescent="0.35">
      <c r="A105" s="1077"/>
      <c r="B105" s="989"/>
      <c r="C105" s="997"/>
      <c r="D105" s="37" t="s">
        <v>967</v>
      </c>
      <c r="E105" s="37"/>
      <c r="F105" s="15"/>
      <c r="G105" s="15"/>
      <c r="H105" s="15"/>
      <c r="I105" s="15"/>
      <c r="J105" s="15"/>
      <c r="K105" s="15"/>
      <c r="L105" s="15"/>
      <c r="M105" s="15"/>
      <c r="N105" s="15"/>
      <c r="O105" s="15"/>
      <c r="P105" s="15"/>
      <c r="Q105" s="15"/>
      <c r="R105" s="15"/>
      <c r="S105" s="15"/>
      <c r="T105" s="15"/>
      <c r="U105" s="245"/>
      <c r="V105" s="54">
        <v>329</v>
      </c>
      <c r="W105" s="225" t="s">
        <v>770</v>
      </c>
      <c r="X105" s="953">
        <f>+SUMIFS(COMPRAS!BG:BG,COMPRAS!BF:BF,V105,COMPRAS!DD:DD,"SI")+SUMIFS(COMPRAS!BP:BP,COMPRAS!BO:BO,V105,COMPRAS!DD:DD,"SI")+SUMIFS(COMPRAS!BY:BY,COMPRAS!BX:BX,V105,COMPRAS!DD:DD,"SI")</f>
        <v>0</v>
      </c>
      <c r="Y105" s="954"/>
      <c r="Z105" s="954"/>
      <c r="AA105" s="954"/>
      <c r="AB105" s="130"/>
      <c r="AC105" s="226">
        <v>379</v>
      </c>
      <c r="AD105" s="74" t="s">
        <v>770</v>
      </c>
      <c r="AE105" s="953">
        <f>SUMIFS(COMPRAS!BI:BI,COMPRAS!BF:BF,V105,COMPRAS!DD:DD,"SI")+SUMIFS(COMPRAS!BR:BR,COMPRAS!BO:BO,V105,COMPRAS!DD:DD,"SI")+SUMIFS(COMPRAS!CA:CA,COMPRAS!BX:BX,V105,COMPRAS!DD:DD,"SI")</f>
        <v>0</v>
      </c>
      <c r="AF105" s="954"/>
      <c r="AG105" s="954"/>
      <c r="AH105" s="954"/>
      <c r="AI105" s="14"/>
      <c r="AJ105" s="270"/>
    </row>
    <row r="106" spans="1:41" ht="21" customHeight="1" outlineLevel="1" x14ac:dyDescent="0.35">
      <c r="A106" s="1077"/>
      <c r="B106" s="989"/>
      <c r="C106" s="997"/>
      <c r="D106" s="37" t="s">
        <v>966</v>
      </c>
      <c r="E106" s="37"/>
      <c r="F106" s="15"/>
      <c r="G106" s="15"/>
      <c r="H106" s="15"/>
      <c r="I106" s="15"/>
      <c r="J106" s="15"/>
      <c r="K106" s="15"/>
      <c r="L106" s="15"/>
      <c r="M106" s="15"/>
      <c r="N106" s="15"/>
      <c r="O106" s="15"/>
      <c r="P106" s="15"/>
      <c r="Q106" s="15"/>
      <c r="R106" s="15"/>
      <c r="S106" s="15"/>
      <c r="T106" s="15"/>
      <c r="U106" s="245"/>
      <c r="V106" s="54">
        <v>330</v>
      </c>
      <c r="W106" s="225" t="s">
        <v>770</v>
      </c>
      <c r="X106" s="953">
        <f>+SUMIFS(COMPRAS!BG:BG,COMPRAS!BF:BF,V106,COMPRAS!DD:DD,"SI")+SUMIFS(COMPRAS!BP:BP,COMPRAS!BO:BO,V106,COMPRAS!DD:DD,"SI")+SUMIFS(COMPRAS!BY:BY,COMPRAS!BX:BX,V106,COMPRAS!DD:DD,"SI")</f>
        <v>0</v>
      </c>
      <c r="Y106" s="954"/>
      <c r="Z106" s="954"/>
      <c r="AA106" s="954"/>
      <c r="AB106" s="130"/>
      <c r="AC106" s="226">
        <v>380</v>
      </c>
      <c r="AD106" s="74" t="s">
        <v>770</v>
      </c>
      <c r="AE106" s="953">
        <f>SUMIFS(COMPRAS!BI:BI,COMPRAS!BF:BF,V106,COMPRAS!DD:DD,"SI")+SUMIFS(COMPRAS!BR:BR,COMPRAS!BO:BO,V106,COMPRAS!DD:DD,"SI")+SUMIFS(COMPRAS!CA:CA,COMPRAS!BX:BX,V106,COMPRAS!DD:DD,"SI")</f>
        <v>0</v>
      </c>
      <c r="AF106" s="954"/>
      <c r="AG106" s="954"/>
      <c r="AH106" s="954"/>
      <c r="AI106" s="14"/>
      <c r="AJ106" s="270"/>
    </row>
    <row r="107" spans="1:41" ht="21" customHeight="1" outlineLevel="1" x14ac:dyDescent="0.35">
      <c r="A107" s="1078"/>
      <c r="B107" s="1079"/>
      <c r="C107" s="1080"/>
      <c r="D107" s="37" t="s">
        <v>2085</v>
      </c>
      <c r="E107" s="37"/>
      <c r="F107" s="15"/>
      <c r="G107" s="15"/>
      <c r="H107" s="15"/>
      <c r="I107" s="15"/>
      <c r="J107" s="15"/>
      <c r="K107" s="15"/>
      <c r="L107" s="15"/>
      <c r="M107" s="15"/>
      <c r="N107" s="15"/>
      <c r="O107" s="15"/>
      <c r="P107" s="15"/>
      <c r="Q107" s="15"/>
      <c r="R107" s="15"/>
      <c r="S107" s="15"/>
      <c r="T107" s="15"/>
      <c r="U107" s="245"/>
      <c r="V107" s="54">
        <v>331</v>
      </c>
      <c r="W107" s="225" t="s">
        <v>770</v>
      </c>
      <c r="X107" s="953">
        <f>+SUMIFS(COMPRAS!BG:BG,COMPRAS!BF:BF,V107,COMPRAS!DD:DD,"SI")+SUMIFS(COMPRAS!BP:BP,COMPRAS!BO:BO,V107,COMPRAS!DD:DD,"SI")+SUMIFS(COMPRAS!BY:BY,COMPRAS!BX:BX,V107,COMPRAS!DD:DD,"SI")</f>
        <v>0</v>
      </c>
      <c r="Y107" s="954"/>
      <c r="Z107" s="954"/>
      <c r="AA107" s="954"/>
      <c r="AB107" s="130"/>
      <c r="AC107" s="1056"/>
      <c r="AD107" s="1057"/>
      <c r="AE107" s="1057"/>
      <c r="AF107" s="1057"/>
      <c r="AG107" s="1057"/>
      <c r="AH107" s="1057"/>
      <c r="AI107" s="1058"/>
    </row>
    <row r="108" spans="1:41" ht="20.5" customHeight="1" outlineLevel="1" x14ac:dyDescent="0.35">
      <c r="A108" s="248" t="s">
        <v>2259</v>
      </c>
      <c r="B108" s="37"/>
      <c r="C108" s="37"/>
      <c r="D108" s="37"/>
      <c r="E108" s="15"/>
      <c r="F108" s="15"/>
      <c r="G108" s="15"/>
      <c r="H108" s="15"/>
      <c r="I108" s="15"/>
      <c r="J108" s="15"/>
      <c r="K108" s="15"/>
      <c r="L108" s="15"/>
      <c r="M108" s="15"/>
      <c r="N108" s="15"/>
      <c r="O108" s="15"/>
      <c r="P108" s="15"/>
      <c r="Q108" s="15"/>
      <c r="R108" s="15"/>
      <c r="S108" s="15"/>
      <c r="T108" s="15"/>
      <c r="U108" s="245"/>
      <c r="V108" s="54">
        <v>333</v>
      </c>
      <c r="W108" s="225" t="s">
        <v>770</v>
      </c>
      <c r="X108" s="953">
        <f>+SUMIFS(COMPRAS!BG:BG,COMPRAS!BF:BF,V108,COMPRAS!DD:DD,"SI")+SUMIFS(COMPRAS!BP:BP,COMPRAS!BO:BO,V108,COMPRAS!DD:DD,"SI")+SUMIFS(COMPRAS!BY:BY,COMPRAS!BX:BX,V108,COMPRAS!DD:DD,"SI")</f>
        <v>0</v>
      </c>
      <c r="Y108" s="954"/>
      <c r="Z108" s="954"/>
      <c r="AA108" s="954"/>
      <c r="AB108" s="130"/>
      <c r="AC108" s="226">
        <v>383</v>
      </c>
      <c r="AD108" s="74" t="s">
        <v>770</v>
      </c>
      <c r="AE108" s="953">
        <f>SUMIFS(COMPRAS!BI:BI,COMPRAS!BF:BF,V108,COMPRAS!DD:DD,"SI")+SUMIFS(COMPRAS!BR:BR,COMPRAS!BO:BO,V108,COMPRAS!DD:DD,"SI")+SUMIFS(COMPRAS!CA:CA,COMPRAS!BX:BX,V108,COMPRAS!DD:DD,"SI")</f>
        <v>0</v>
      </c>
      <c r="AF108" s="954"/>
      <c r="AG108" s="954"/>
      <c r="AH108" s="954"/>
      <c r="AI108" s="14"/>
      <c r="AJ108" s="270"/>
    </row>
    <row r="109" spans="1:41" ht="21" customHeight="1" outlineLevel="1" thickBot="1" x14ac:dyDescent="0.4">
      <c r="A109" s="248" t="s">
        <v>2260</v>
      </c>
      <c r="B109" s="37"/>
      <c r="C109" s="37"/>
      <c r="D109" s="37"/>
      <c r="E109" s="15"/>
      <c r="F109" s="15"/>
      <c r="G109" s="15"/>
      <c r="H109" s="15"/>
      <c r="I109" s="15"/>
      <c r="J109" s="15"/>
      <c r="K109" s="15"/>
      <c r="L109" s="15"/>
      <c r="M109" s="15"/>
      <c r="N109" s="15"/>
      <c r="O109" s="15"/>
      <c r="P109" s="15"/>
      <c r="Q109" s="15"/>
      <c r="R109" s="15"/>
      <c r="S109" s="15"/>
      <c r="T109" s="15"/>
      <c r="U109" s="245"/>
      <c r="V109" s="54">
        <v>334</v>
      </c>
      <c r="W109" s="225" t="s">
        <v>770</v>
      </c>
      <c r="X109" s="953">
        <f>+SUMIFS(COMPRAS!BG:BG,COMPRAS!BF:BF,V109,COMPRAS!DD:DD,"SI")+SUMIFS(COMPRAS!BP:BP,COMPRAS!BO:BO,V109,COMPRAS!DD:DD,"SI")+SUMIFS(COMPRAS!BY:BY,COMPRAS!BX:BX,V109,COMPRAS!DD:DD,"SI")</f>
        <v>0</v>
      </c>
      <c r="Y109" s="954"/>
      <c r="Z109" s="954"/>
      <c r="AA109" s="954"/>
      <c r="AB109" s="130"/>
      <c r="AC109" s="226">
        <v>384</v>
      </c>
      <c r="AD109" s="74" t="s">
        <v>770</v>
      </c>
      <c r="AE109" s="953">
        <f>SUMIFS(COMPRAS!BI:BI,COMPRAS!BF:BF,V109,COMPRAS!DD:DD,"SI")+SUMIFS(COMPRAS!BR:BR,COMPRAS!BO:BO,V109,COMPRAS!DD:DD,"SI")+SUMIFS(COMPRAS!CA:CA,COMPRAS!BX:BX,V109,COMPRAS!DD:DD,"SI")</f>
        <v>0</v>
      </c>
      <c r="AF109" s="954"/>
      <c r="AG109" s="954"/>
      <c r="AH109" s="954"/>
      <c r="AI109" s="14"/>
      <c r="AJ109" s="270"/>
    </row>
    <row r="110" spans="1:41" ht="21" customHeight="1" outlineLevel="1" thickBot="1" x14ac:dyDescent="0.4">
      <c r="A110" s="957" t="s">
        <v>2261</v>
      </c>
      <c r="B110" s="958"/>
      <c r="C110" s="958"/>
      <c r="D110" s="958"/>
      <c r="E110" s="958"/>
      <c r="F110" s="958"/>
      <c r="G110" s="958"/>
      <c r="H110" s="958"/>
      <c r="I110" s="958"/>
      <c r="J110" s="958"/>
      <c r="K110" s="958"/>
      <c r="L110" s="958"/>
      <c r="M110" s="958"/>
      <c r="N110" s="958"/>
      <c r="O110" s="958"/>
      <c r="P110" s="958"/>
      <c r="Q110" s="958"/>
      <c r="R110" s="958"/>
      <c r="S110" s="958"/>
      <c r="T110" s="958"/>
      <c r="U110" s="958"/>
      <c r="V110" s="958"/>
      <c r="W110" s="958"/>
      <c r="X110" s="958"/>
      <c r="Y110" s="958"/>
      <c r="Z110" s="958"/>
      <c r="AA110" s="958"/>
      <c r="AB110" s="958"/>
      <c r="AC110" s="958"/>
      <c r="AD110" s="958"/>
      <c r="AE110" s="958"/>
      <c r="AF110" s="958"/>
      <c r="AG110" s="958"/>
      <c r="AH110" s="958"/>
      <c r="AI110" s="959"/>
    </row>
    <row r="111" spans="1:41" ht="21" customHeight="1" outlineLevel="1" thickBot="1" x14ac:dyDescent="0.4">
      <c r="A111" s="41" t="s">
        <v>2262</v>
      </c>
      <c r="B111" s="37"/>
      <c r="C111" s="37"/>
      <c r="D111" s="37"/>
      <c r="E111" s="15"/>
      <c r="F111" s="15"/>
      <c r="G111" s="15"/>
      <c r="H111" s="15"/>
      <c r="I111" s="15"/>
      <c r="J111" s="15"/>
      <c r="K111" s="15"/>
      <c r="L111" s="15"/>
      <c r="M111" s="15"/>
      <c r="N111" s="15"/>
      <c r="O111" s="15"/>
      <c r="P111" s="15"/>
      <c r="Q111" s="15"/>
      <c r="R111" s="15"/>
      <c r="S111" s="15"/>
      <c r="T111" s="15"/>
      <c r="U111" s="245"/>
      <c r="V111" s="54">
        <v>335</v>
      </c>
      <c r="W111" s="225" t="s">
        <v>770</v>
      </c>
      <c r="X111" s="953">
        <f>+SUMIFS(COMPRAS!BG:BG,COMPRAS!BF:BF,V111,COMPRAS!DD:DD,"SI")+SUMIFS(COMPRAS!BP:BP,COMPRAS!BO:BO,V111,COMPRAS!DD:DD,"SI")+SUMIFS(COMPRAS!BY:BY,COMPRAS!BX:BX,V111,COMPRAS!DD:DD,"SI")</f>
        <v>0</v>
      </c>
      <c r="Y111" s="954"/>
      <c r="Z111" s="954"/>
      <c r="AA111" s="954"/>
      <c r="AB111" s="130"/>
      <c r="AC111" s="226">
        <v>385</v>
      </c>
      <c r="AD111" s="74" t="s">
        <v>770</v>
      </c>
      <c r="AE111" s="953">
        <f>SUMIFS(COMPRAS!BI:BI,COMPRAS!BF:BF,V111,COMPRAS!DD:DD,"SI")+SUMIFS(COMPRAS!BR:BR,COMPRAS!BO:BO,V111,COMPRAS!DD:DD,"SI")+SUMIFS(COMPRAS!CA:CA,COMPRAS!BX:BX,V111,COMPRAS!DD:DD,"SI")</f>
        <v>0</v>
      </c>
      <c r="AF111" s="954"/>
      <c r="AG111" s="954"/>
      <c r="AH111" s="954"/>
      <c r="AI111" s="14"/>
      <c r="AJ111" s="270"/>
    </row>
    <row r="112" spans="1:41" ht="21" customHeight="1" outlineLevel="1" thickBot="1" x14ac:dyDescent="0.4">
      <c r="A112" s="957" t="s">
        <v>2263</v>
      </c>
      <c r="B112" s="958"/>
      <c r="C112" s="958"/>
      <c r="D112" s="958"/>
      <c r="E112" s="958"/>
      <c r="F112" s="958"/>
      <c r="G112" s="958"/>
      <c r="H112" s="958"/>
      <c r="I112" s="958"/>
      <c r="J112" s="958"/>
      <c r="K112" s="958"/>
      <c r="L112" s="958"/>
      <c r="M112" s="958"/>
      <c r="N112" s="958"/>
      <c r="O112" s="958"/>
      <c r="P112" s="958"/>
      <c r="Q112" s="958"/>
      <c r="R112" s="958"/>
      <c r="S112" s="958"/>
      <c r="T112" s="958"/>
      <c r="U112" s="958"/>
      <c r="V112" s="958"/>
      <c r="W112" s="958"/>
      <c r="X112" s="958"/>
      <c r="Y112" s="958"/>
      <c r="Z112" s="958"/>
      <c r="AA112" s="958"/>
      <c r="AB112" s="958"/>
      <c r="AC112" s="958"/>
      <c r="AD112" s="958"/>
      <c r="AE112" s="958"/>
      <c r="AF112" s="958"/>
      <c r="AG112" s="958"/>
      <c r="AH112" s="958"/>
      <c r="AI112" s="959"/>
    </row>
    <row r="113" spans="1:36" ht="21" customHeight="1" outlineLevel="1" thickBot="1" x14ac:dyDescent="0.4">
      <c r="A113" s="41" t="s">
        <v>2205</v>
      </c>
      <c r="B113" s="37"/>
      <c r="C113" s="37"/>
      <c r="D113" s="37"/>
      <c r="E113" s="15"/>
      <c r="F113" s="15"/>
      <c r="G113" s="15"/>
      <c r="H113" s="15"/>
      <c r="I113" s="15"/>
      <c r="J113" s="15"/>
      <c r="K113" s="15"/>
      <c r="L113" s="15"/>
      <c r="M113" s="15"/>
      <c r="N113" s="15"/>
      <c r="O113" s="15"/>
      <c r="P113" s="15"/>
      <c r="Q113" s="15"/>
      <c r="R113" s="15"/>
      <c r="S113" s="15"/>
      <c r="T113" s="15"/>
      <c r="U113" s="245"/>
      <c r="V113" s="54">
        <v>3481</v>
      </c>
      <c r="W113" s="225" t="s">
        <v>770</v>
      </c>
      <c r="X113" s="953">
        <f>+SUMIFS(COMPRAS!BG:BG,COMPRAS!BF:BF,V113,COMPRAS!DD:DD,"SI")+SUMIFS(COMPRAS!BP:BP,COMPRAS!BO:BO,V113,COMPRAS!DD:DD,"SI")+SUMIFS(COMPRAS!BY:BY,COMPRAS!BX:BX,V113,COMPRAS!DD:DD,"SI")</f>
        <v>0</v>
      </c>
      <c r="Y113" s="954"/>
      <c r="Z113" s="954"/>
      <c r="AA113" s="954"/>
      <c r="AB113" s="130"/>
      <c r="AC113" s="226">
        <v>3981</v>
      </c>
      <c r="AD113" s="74" t="s">
        <v>770</v>
      </c>
      <c r="AE113" s="953">
        <f>SUMIFS(COMPRAS!BI:BI,COMPRAS!BF:BF,V113,COMPRAS!DD:DD,"SI")+SUMIFS(COMPRAS!BR:BR,COMPRAS!BO:BO,V113,COMPRAS!DD:DD,"SI")+SUMIFS(COMPRAS!CA:CA,COMPRAS!BX:BX,V113,COMPRAS!DD:DD,"SI")</f>
        <v>0</v>
      </c>
      <c r="AF113" s="954"/>
      <c r="AG113" s="954"/>
      <c r="AH113" s="954"/>
      <c r="AI113" s="14"/>
      <c r="AJ113" s="270"/>
    </row>
    <row r="114" spans="1:36" ht="21" customHeight="1" outlineLevel="1" thickBot="1" x14ac:dyDescent="0.4">
      <c r="A114" s="957"/>
      <c r="B114" s="958"/>
      <c r="C114" s="958"/>
      <c r="D114" s="958"/>
      <c r="E114" s="958"/>
      <c r="F114" s="958"/>
      <c r="G114" s="958"/>
      <c r="H114" s="958"/>
      <c r="I114" s="958"/>
      <c r="J114" s="958"/>
      <c r="K114" s="958"/>
      <c r="L114" s="958"/>
      <c r="M114" s="958"/>
      <c r="N114" s="958"/>
      <c r="O114" s="958"/>
      <c r="P114" s="958"/>
      <c r="Q114" s="958"/>
      <c r="R114" s="958"/>
      <c r="S114" s="958"/>
      <c r="T114" s="958"/>
      <c r="U114" s="958"/>
      <c r="V114" s="958"/>
      <c r="W114" s="958"/>
      <c r="X114" s="958"/>
      <c r="Y114" s="958"/>
      <c r="Z114" s="958"/>
      <c r="AA114" s="958"/>
      <c r="AB114" s="958"/>
      <c r="AC114" s="958"/>
      <c r="AD114" s="958"/>
      <c r="AE114" s="958"/>
      <c r="AF114" s="958"/>
      <c r="AG114" s="958"/>
      <c r="AH114" s="958"/>
      <c r="AI114" s="959"/>
    </row>
    <row r="115" spans="1:36" ht="21" customHeight="1" outlineLevel="1" x14ac:dyDescent="0.35">
      <c r="A115" s="1077" t="s">
        <v>965</v>
      </c>
      <c r="B115" s="989"/>
      <c r="C115" s="997"/>
      <c r="D115" s="43" t="s">
        <v>964</v>
      </c>
      <c r="E115" s="43"/>
      <c r="F115" s="43"/>
      <c r="G115" s="43"/>
      <c r="H115" s="43"/>
      <c r="I115" s="43"/>
      <c r="J115" s="43"/>
      <c r="K115" s="43"/>
      <c r="L115" s="43"/>
      <c r="M115" s="43"/>
      <c r="N115" s="43"/>
      <c r="O115" s="43"/>
      <c r="P115" s="43"/>
      <c r="Q115" s="43"/>
      <c r="R115" s="43"/>
      <c r="S115" s="43"/>
      <c r="T115" s="43"/>
      <c r="U115" s="142"/>
      <c r="V115" s="111">
        <v>336</v>
      </c>
      <c r="W115" s="225" t="s">
        <v>770</v>
      </c>
      <c r="X115" s="955">
        <f>+SUMIFS(COMPRAS!BG:BG,COMPRAS!BF:BF,V115,COMPRAS!DD:DD,"SI")+SUMIFS(COMPRAS!BP:BP,COMPRAS!BO:BO,V115,COMPRAS!DD:DD,"SI")+SUMIFS(COMPRAS!BY:BY,COMPRAS!BX:BX,V115,COMPRAS!DD:DD,"SI")</f>
        <v>0</v>
      </c>
      <c r="Y115" s="956"/>
      <c r="Z115" s="956"/>
      <c r="AA115" s="956"/>
      <c r="AB115" s="142"/>
      <c r="AC115" s="226">
        <v>386</v>
      </c>
      <c r="AD115" s="74" t="s">
        <v>770</v>
      </c>
      <c r="AE115" s="955">
        <f>SUMIFS(COMPRAS!BI:BI,COMPRAS!BF:BF,V115,COMPRAS!DD:DD,"SI")+SUMIFS(COMPRAS!BR:BR,COMPRAS!BO:BO,V115,COMPRAS!DD:DD,"SI")+SUMIFS(COMPRAS!CA:CA,COMPRAS!BX:BX,V115,COMPRAS!DD:DD,"SI")</f>
        <v>0</v>
      </c>
      <c r="AF115" s="956"/>
      <c r="AG115" s="956"/>
      <c r="AH115" s="956"/>
      <c r="AI115" s="206"/>
      <c r="AJ115" s="270"/>
    </row>
    <row r="116" spans="1:36" ht="21" customHeight="1" outlineLevel="1" x14ac:dyDescent="0.35">
      <c r="A116" s="1078"/>
      <c r="B116" s="1079"/>
      <c r="C116" s="1080"/>
      <c r="D116" s="15" t="s">
        <v>963</v>
      </c>
      <c r="E116" s="15"/>
      <c r="F116" s="15"/>
      <c r="G116" s="15"/>
      <c r="H116" s="15"/>
      <c r="I116" s="15"/>
      <c r="J116" s="15"/>
      <c r="K116" s="15"/>
      <c r="L116" s="15"/>
      <c r="M116" s="15"/>
      <c r="N116" s="15"/>
      <c r="O116" s="15"/>
      <c r="P116" s="15"/>
      <c r="Q116" s="15"/>
      <c r="R116" s="15"/>
      <c r="S116" s="15"/>
      <c r="T116" s="15"/>
      <c r="U116" s="130"/>
      <c r="V116" s="54">
        <v>337</v>
      </c>
      <c r="W116" s="225" t="s">
        <v>770</v>
      </c>
      <c r="X116" s="953">
        <f>+SUMIFS(COMPRAS!BG:BG,COMPRAS!BF:BF,V116,COMPRAS!DD:DD,"SI")+SUMIFS(COMPRAS!BP:BP,COMPRAS!BO:BO,V116,COMPRAS!DD:DD,"SI")+SUMIFS(COMPRAS!BY:BY,COMPRAS!BX:BX,V116,COMPRAS!DD:DD,"SI")</f>
        <v>0</v>
      </c>
      <c r="Y116" s="954"/>
      <c r="Z116" s="954"/>
      <c r="AA116" s="954"/>
      <c r="AB116" s="130"/>
      <c r="AC116" s="111">
        <v>387</v>
      </c>
      <c r="AD116" s="74" t="s">
        <v>770</v>
      </c>
      <c r="AE116" s="953">
        <f>SUMIFS(COMPRAS!BI:BI,COMPRAS!BF:BF,V116,COMPRAS!DD:DD,"SI")+SUMIFS(COMPRAS!BR:BR,COMPRAS!BO:BO,V116,COMPRAS!DD:DD,"SI")+SUMIFS(COMPRAS!CA:CA,COMPRAS!BX:BX,V116,COMPRAS!DD:DD,"SI")</f>
        <v>0</v>
      </c>
      <c r="AF116" s="954"/>
      <c r="AG116" s="954"/>
      <c r="AH116" s="954"/>
      <c r="AI116" s="14"/>
      <c r="AJ116" s="270"/>
    </row>
    <row r="117" spans="1:36" ht="21" customHeight="1" outlineLevel="1" x14ac:dyDescent="0.35">
      <c r="A117" s="41" t="s">
        <v>2264</v>
      </c>
      <c r="B117" s="15"/>
      <c r="C117" s="15"/>
      <c r="D117" s="15"/>
      <c r="E117" s="15"/>
      <c r="F117" s="15"/>
      <c r="G117" s="15"/>
      <c r="H117" s="15"/>
      <c r="I117" s="15"/>
      <c r="J117" s="15"/>
      <c r="K117" s="15"/>
      <c r="L117" s="15"/>
      <c r="M117" s="15"/>
      <c r="N117" s="15"/>
      <c r="O117" s="15"/>
      <c r="P117" s="15"/>
      <c r="Q117" s="15"/>
      <c r="R117" s="15"/>
      <c r="S117" s="15"/>
      <c r="T117" s="15"/>
      <c r="U117" s="130"/>
      <c r="V117" s="54">
        <v>3370</v>
      </c>
      <c r="W117" s="225" t="s">
        <v>770</v>
      </c>
      <c r="X117" s="953">
        <f>SUM(X118:AA118)</f>
        <v>0</v>
      </c>
      <c r="Y117" s="954"/>
      <c r="Z117" s="954"/>
      <c r="AA117" s="954"/>
      <c r="AB117" s="130"/>
      <c r="AC117" s="111">
        <v>3870</v>
      </c>
      <c r="AD117" s="74" t="s">
        <v>770</v>
      </c>
      <c r="AE117" s="953">
        <f>SUM(AE118:AH118)</f>
        <v>0</v>
      </c>
      <c r="AF117" s="954"/>
      <c r="AG117" s="954"/>
      <c r="AH117" s="954"/>
      <c r="AI117" s="14"/>
      <c r="AJ117" s="270"/>
    </row>
    <row r="118" spans="1:36" ht="21" hidden="1" customHeight="1" outlineLevel="2" x14ac:dyDescent="0.35">
      <c r="A118" s="247"/>
      <c r="B118" s="37"/>
      <c r="C118" s="37"/>
      <c r="D118" s="37"/>
      <c r="E118" s="15"/>
      <c r="F118" s="15"/>
      <c r="G118" s="15"/>
      <c r="H118" s="15"/>
      <c r="I118" s="15"/>
      <c r="J118" s="15"/>
      <c r="K118" s="15"/>
      <c r="L118" s="15"/>
      <c r="M118" s="15"/>
      <c r="N118" s="15"/>
      <c r="O118" s="15"/>
      <c r="P118" s="15"/>
      <c r="Q118" s="15"/>
      <c r="R118" s="15"/>
      <c r="S118" s="15"/>
      <c r="T118" s="15"/>
      <c r="U118" s="245" t="s">
        <v>1063</v>
      </c>
      <c r="V118" s="228" t="s">
        <v>1062</v>
      </c>
      <c r="W118" s="74"/>
      <c r="X118" s="953">
        <f>+SUMIFS(COMPRAS!BG:BG,COMPRAS!BF:BF,V118,COMPRAS!DD:DD,"SI")+SUMIFS(COMPRAS!BP:BP,COMPRAS!BO:BO,V118,COMPRAS!DD:DD,"SI")+SUMIFS(COMPRAS!BY:BY,COMPRAS!BX:BX,V118,COMPRAS!DD:DD,"SI")</f>
        <v>0</v>
      </c>
      <c r="Y118" s="954"/>
      <c r="Z118" s="954"/>
      <c r="AA118" s="954"/>
      <c r="AB118" s="130"/>
      <c r="AC118" s="54"/>
      <c r="AD118" s="53"/>
      <c r="AE118" s="953">
        <f>SUMIFS(COMPRAS!BI:BI,COMPRAS!BF:BF,V118,COMPRAS!DD:DD,"SI")+SUMIFS(COMPRAS!BR:BR,COMPRAS!BO:BO,V118,COMPRAS!DD:DD,"SI")+SUMIFS(COMPRAS!CA:CA,COMPRAS!BX:BX,V118,COMPRAS!DD:DD,"SI")</f>
        <v>0</v>
      </c>
      <c r="AF118" s="954"/>
      <c r="AG118" s="954"/>
      <c r="AH118" s="954"/>
      <c r="AI118" s="14"/>
    </row>
    <row r="119" spans="1:36" ht="21" customHeight="1" outlineLevel="1" collapsed="1" x14ac:dyDescent="0.35">
      <c r="A119" s="41" t="s">
        <v>2265</v>
      </c>
      <c r="B119" s="15"/>
      <c r="C119" s="15"/>
      <c r="D119" s="15"/>
      <c r="E119" s="15"/>
      <c r="F119" s="15"/>
      <c r="G119" s="15"/>
      <c r="H119" s="15"/>
      <c r="I119" s="15"/>
      <c r="J119" s="15"/>
      <c r="K119" s="15"/>
      <c r="L119" s="15"/>
      <c r="M119" s="15"/>
      <c r="N119" s="15"/>
      <c r="O119" s="15"/>
      <c r="P119" s="15"/>
      <c r="Q119" s="15"/>
      <c r="R119" s="15"/>
      <c r="S119" s="15"/>
      <c r="T119" s="15"/>
      <c r="U119" s="245"/>
      <c r="V119" s="54">
        <v>350</v>
      </c>
      <c r="W119" s="225" t="s">
        <v>770</v>
      </c>
      <c r="X119" s="953">
        <f>SUM(X120:AA120)</f>
        <v>0</v>
      </c>
      <c r="Y119" s="954"/>
      <c r="Z119" s="954"/>
      <c r="AA119" s="954"/>
      <c r="AB119" s="130"/>
      <c r="AC119" s="226">
        <v>400</v>
      </c>
      <c r="AD119" s="74" t="s">
        <v>770</v>
      </c>
      <c r="AE119" s="953">
        <f>SUM(AE120:AH120)</f>
        <v>0</v>
      </c>
      <c r="AF119" s="954"/>
      <c r="AG119" s="954"/>
      <c r="AH119" s="954"/>
      <c r="AI119" s="14"/>
      <c r="AJ119" s="270"/>
    </row>
    <row r="120" spans="1:36" ht="21" hidden="1" customHeight="1" outlineLevel="2" x14ac:dyDescent="0.35">
      <c r="A120" s="41"/>
      <c r="B120" s="15"/>
      <c r="C120" s="15"/>
      <c r="D120" s="15"/>
      <c r="E120" s="15"/>
      <c r="F120" s="15"/>
      <c r="G120" s="15"/>
      <c r="H120" s="15"/>
      <c r="I120" s="15"/>
      <c r="J120" s="15"/>
      <c r="K120" s="15"/>
      <c r="L120" s="15"/>
      <c r="M120" s="15"/>
      <c r="N120" s="15"/>
      <c r="O120" s="15"/>
      <c r="P120" s="15"/>
      <c r="Q120" s="15"/>
      <c r="R120" s="15"/>
      <c r="S120" s="15"/>
      <c r="T120" s="15"/>
      <c r="U120" s="245" t="s">
        <v>1160</v>
      </c>
      <c r="V120" s="246">
        <v>350</v>
      </c>
      <c r="W120" s="225"/>
      <c r="X120" s="953">
        <f>+SUMIFS(COMPRAS!BG:BG,COMPRAS!BF:BF,V120,COMPRAS!DD:DD,"SI")+SUMIFS(COMPRAS!BP:BP,COMPRAS!BO:BO,V120,COMPRAS!DD:DD,"SI")+SUMIFS(COMPRAS!BY:BY,COMPRAS!BX:BX,V120,COMPRAS!DD:DD,"SI")</f>
        <v>0</v>
      </c>
      <c r="Y120" s="954"/>
      <c r="Z120" s="954"/>
      <c r="AA120" s="954"/>
      <c r="AB120" s="130"/>
      <c r="AC120" s="226"/>
      <c r="AD120" s="74"/>
      <c r="AE120" s="953">
        <f>SUMIFS(COMPRAS!BI:BI,COMPRAS!BF:BF,V120,COMPRAS!DD:DD,"SI")+SUMIFS(COMPRAS!BR:BR,COMPRAS!BO:BO,V120,COMPRAS!DD:DD,"SI")+SUMIFS(COMPRAS!CA:CA,COMPRAS!BX:BX,V120,COMPRAS!DD:DD,"SI")</f>
        <v>0</v>
      </c>
      <c r="AF120" s="954"/>
      <c r="AG120" s="954"/>
      <c r="AH120" s="954"/>
      <c r="AI120" s="14"/>
    </row>
    <row r="121" spans="1:36" ht="21" customHeight="1" outlineLevel="1" collapsed="1" x14ac:dyDescent="0.35">
      <c r="A121" s="1081" t="s">
        <v>956</v>
      </c>
      <c r="B121" s="1082"/>
      <c r="C121" s="1083"/>
      <c r="D121" s="15" t="s">
        <v>1162</v>
      </c>
      <c r="E121" s="15"/>
      <c r="F121" s="37"/>
      <c r="G121" s="37"/>
      <c r="H121" s="37"/>
      <c r="I121" s="37"/>
      <c r="J121" s="37"/>
      <c r="K121" s="37"/>
      <c r="L121" s="37"/>
      <c r="M121" s="37"/>
      <c r="N121" s="37"/>
      <c r="O121" s="37"/>
      <c r="P121" s="37"/>
      <c r="Q121" s="37"/>
      <c r="R121" s="37"/>
      <c r="S121" s="37"/>
      <c r="T121" s="37"/>
      <c r="U121" s="242"/>
      <c r="V121" s="54">
        <v>3440</v>
      </c>
      <c r="W121" s="74" t="s">
        <v>770</v>
      </c>
      <c r="X121" s="953">
        <f>+SUMIFS(COMPRAS!BG:BG,COMPRAS!BF:BF,V121,COMPRAS!DD:DD,"SI")+SUMIFS(COMPRAS!BP:BP,COMPRAS!BO:BO,V121,COMPRAS!DD:DD,"SI")+SUMIFS(COMPRAS!BY:BY,COMPRAS!BX:BX,V121,COMPRAS!DD:DD,"SI")</f>
        <v>0</v>
      </c>
      <c r="Y121" s="954"/>
      <c r="Z121" s="954"/>
      <c r="AA121" s="954"/>
      <c r="AB121" s="130"/>
      <c r="AC121" s="111">
        <v>3940</v>
      </c>
      <c r="AD121" s="74" t="s">
        <v>770</v>
      </c>
      <c r="AE121" s="953">
        <f>SUMIFS(COMPRAS!BI:BI,COMPRAS!BF:BF,V121,COMPRAS!DD:DD,"SI")+SUMIFS(COMPRAS!BR:BR,COMPRAS!BO:BO,V121,COMPRAS!DD:DD,"SI")+SUMIFS(COMPRAS!CA:CA,COMPRAS!BX:BX,V121,COMPRAS!DD:DD,"SI")</f>
        <v>0</v>
      </c>
      <c r="AF121" s="954"/>
      <c r="AG121" s="954"/>
      <c r="AH121" s="954"/>
      <c r="AI121" s="14"/>
      <c r="AJ121" s="270"/>
    </row>
    <row r="122" spans="1:36" ht="21" customHeight="1" outlineLevel="1" x14ac:dyDescent="0.35">
      <c r="A122" s="1077"/>
      <c r="B122" s="989"/>
      <c r="C122" s="997"/>
      <c r="D122" s="15" t="s">
        <v>955</v>
      </c>
      <c r="E122" s="15"/>
      <c r="F122" s="37"/>
      <c r="G122" s="37"/>
      <c r="H122" s="37"/>
      <c r="I122" s="37"/>
      <c r="J122" s="37"/>
      <c r="K122" s="37"/>
      <c r="L122" s="37"/>
      <c r="M122" s="37"/>
      <c r="N122" s="37"/>
      <c r="O122" s="37"/>
      <c r="P122" s="37"/>
      <c r="Q122" s="37"/>
      <c r="R122" s="37"/>
      <c r="S122" s="37"/>
      <c r="T122" s="37"/>
      <c r="U122" s="242"/>
      <c r="V122" s="54">
        <v>345</v>
      </c>
      <c r="W122" s="74" t="s">
        <v>770</v>
      </c>
      <c r="X122" s="953">
        <f>+SUMIFS(COMPRAS!BG:BG,COMPRAS!BF:BF,V122,COMPRAS!DD:DD,"SI")+SUMIFS(COMPRAS!BP:BP,COMPRAS!BO:BO,V122,COMPRAS!DD:DD,"SI")+SUMIFS(COMPRAS!BY:BY,COMPRAS!BX:BX,V122,COMPRAS!DD:DD,"SI")</f>
        <v>0</v>
      </c>
      <c r="Y122" s="954"/>
      <c r="Z122" s="954"/>
      <c r="AA122" s="954"/>
      <c r="AB122" s="130"/>
      <c r="AC122" s="226">
        <v>395</v>
      </c>
      <c r="AD122" s="74" t="s">
        <v>770</v>
      </c>
      <c r="AE122" s="953">
        <f>SUMIFS(COMPRAS!BI:BI,COMPRAS!BF:BF,V122,COMPRAS!DD:DD,"SI")+SUMIFS(COMPRAS!BR:BR,COMPRAS!BO:BO,V122,COMPRAS!DD:DD,"SI")+SUMIFS(COMPRAS!CA:CA,COMPRAS!BX:BX,V122,COMPRAS!DD:DD,"SI")</f>
        <v>0</v>
      </c>
      <c r="AF122" s="954"/>
      <c r="AG122" s="954"/>
      <c r="AH122" s="954"/>
      <c r="AI122" s="14"/>
      <c r="AJ122" s="270"/>
    </row>
    <row r="123" spans="1:36" ht="21" customHeight="1" outlineLevel="1" thickBot="1" x14ac:dyDescent="0.4">
      <c r="A123" s="1077"/>
      <c r="B123" s="989"/>
      <c r="C123" s="997"/>
      <c r="D123" s="15" t="s">
        <v>2266</v>
      </c>
      <c r="E123" s="15"/>
      <c r="F123" s="15"/>
      <c r="G123" s="15"/>
      <c r="H123" s="15"/>
      <c r="I123" s="15"/>
      <c r="J123" s="15"/>
      <c r="K123" s="15"/>
      <c r="L123" s="15"/>
      <c r="M123" s="15"/>
      <c r="N123" s="15"/>
      <c r="O123" s="15"/>
      <c r="P123" s="15"/>
      <c r="Q123" s="15"/>
      <c r="R123" s="15"/>
      <c r="S123" s="15"/>
      <c r="T123" s="15"/>
      <c r="U123" s="130"/>
      <c r="V123" s="54">
        <v>346</v>
      </c>
      <c r="W123" s="74" t="s">
        <v>770</v>
      </c>
      <c r="X123" s="953">
        <f>SUM(X124:AA127)</f>
        <v>0</v>
      </c>
      <c r="Y123" s="954"/>
      <c r="Z123" s="954"/>
      <c r="AA123" s="954"/>
      <c r="AB123" s="130"/>
      <c r="AC123" s="54">
        <v>396</v>
      </c>
      <c r="AD123" s="53" t="s">
        <v>770</v>
      </c>
      <c r="AE123" s="953">
        <f>SUM(AE124:AH127)</f>
        <v>0</v>
      </c>
      <c r="AF123" s="954"/>
      <c r="AG123" s="954"/>
      <c r="AH123" s="954"/>
      <c r="AI123" s="14"/>
      <c r="AJ123" s="270"/>
    </row>
    <row r="124" spans="1:36" ht="21" hidden="1" customHeight="1" outlineLevel="2" x14ac:dyDescent="0.35">
      <c r="A124" s="1077"/>
      <c r="B124" s="989"/>
      <c r="C124" s="997"/>
      <c r="D124" s="15"/>
      <c r="E124" s="15"/>
      <c r="F124" s="15"/>
      <c r="G124" s="15"/>
      <c r="H124" s="15"/>
      <c r="I124" s="15"/>
      <c r="J124" s="15"/>
      <c r="K124" s="15"/>
      <c r="L124" s="15"/>
      <c r="M124" s="15"/>
      <c r="N124" s="15"/>
      <c r="O124" s="15"/>
      <c r="P124" s="15"/>
      <c r="Q124" s="15"/>
      <c r="R124" s="15"/>
      <c r="S124" s="15"/>
      <c r="T124" s="15"/>
      <c r="U124" s="229" t="s">
        <v>1057</v>
      </c>
      <c r="V124" s="228">
        <v>346</v>
      </c>
      <c r="W124" s="74"/>
      <c r="X124" s="953">
        <f>+SUMIFS(COMPRAS!BG:BG,COMPRAS!BF:BF,V124,COMPRAS!DD:DD,"SI")+SUMIFS(COMPRAS!BP:BP,COMPRAS!BO:BO,V124,COMPRAS!DD:DD,"SI")+SUMIFS(COMPRAS!BY:BY,COMPRAS!BX:BX,V124,COMPRAS!DD:DD,"SI")</f>
        <v>0</v>
      </c>
      <c r="Y124" s="954"/>
      <c r="Z124" s="954"/>
      <c r="AA124" s="954"/>
      <c r="AB124" s="130"/>
      <c r="AC124" s="54"/>
      <c r="AD124" s="53"/>
      <c r="AE124" s="953">
        <f>SUMIFS(COMPRAS!BI:BI,COMPRAS!BF:BF,V124,COMPRAS!DD:DD,"SI")+SUMIFS(COMPRAS!BR:BR,COMPRAS!BO:BO,V124,COMPRAS!DD:DD,"SI")+SUMIFS(COMPRAS!CA:CA,COMPRAS!BX:BX,V124,COMPRAS!DD:DD,"SI")</f>
        <v>0</v>
      </c>
      <c r="AF124" s="954"/>
      <c r="AG124" s="954"/>
      <c r="AH124" s="954"/>
      <c r="AI124" s="14"/>
    </row>
    <row r="125" spans="1:36" ht="21" hidden="1" customHeight="1" outlineLevel="2" x14ac:dyDescent="0.35">
      <c r="A125" s="1077"/>
      <c r="B125" s="989"/>
      <c r="C125" s="997"/>
      <c r="D125" s="15"/>
      <c r="E125" s="15"/>
      <c r="F125" s="15"/>
      <c r="G125" s="15"/>
      <c r="H125" s="15"/>
      <c r="I125" s="15"/>
      <c r="J125" s="15"/>
      <c r="K125" s="15"/>
      <c r="L125" s="15"/>
      <c r="M125" s="15"/>
      <c r="N125" s="15"/>
      <c r="O125" s="15"/>
      <c r="P125" s="15"/>
      <c r="Q125" s="15"/>
      <c r="R125" s="15"/>
      <c r="S125" s="15"/>
      <c r="T125" s="15"/>
      <c r="U125" s="229" t="s">
        <v>1077</v>
      </c>
      <c r="V125" s="228" t="s">
        <v>172</v>
      </c>
      <c r="W125" s="74"/>
      <c r="X125" s="953">
        <f>+SUMIFS(COMPRAS!BG:BG,COMPRAS!BF:BF,V125,COMPRAS!DD:DD,"SI")+SUMIFS(COMPRAS!BP:BP,COMPRAS!BO:BO,V125,COMPRAS!DD:DD,"SI")+SUMIFS(COMPRAS!BY:BY,COMPRAS!BX:BX,V125,COMPRAS!DD:DD,"SI")</f>
        <v>0</v>
      </c>
      <c r="Y125" s="954"/>
      <c r="Z125" s="954"/>
      <c r="AA125" s="954"/>
      <c r="AB125" s="130"/>
      <c r="AC125" s="54"/>
      <c r="AD125" s="53"/>
      <c r="AE125" s="953">
        <f>SUMIFS(COMPRAS!BI:BI,COMPRAS!BF:BF,V125,COMPRAS!DD:DD,"SI")+SUMIFS(COMPRAS!BR:BR,COMPRAS!BO:BO,V125,COMPRAS!DD:DD,"SI")+SUMIFS(COMPRAS!CA:CA,COMPRAS!BX:BX,V125,COMPRAS!DD:DD,"SI")</f>
        <v>0</v>
      </c>
      <c r="AF125" s="954"/>
      <c r="AG125" s="954"/>
      <c r="AH125" s="954"/>
      <c r="AI125" s="14"/>
    </row>
    <row r="126" spans="1:36" ht="21" hidden="1" customHeight="1" outlineLevel="2" x14ac:dyDescent="0.35">
      <c r="A126" s="1077"/>
      <c r="B126" s="989"/>
      <c r="C126" s="997"/>
      <c r="D126" s="15"/>
      <c r="E126" s="15"/>
      <c r="F126" s="15"/>
      <c r="G126" s="15"/>
      <c r="H126" s="15"/>
      <c r="I126" s="15"/>
      <c r="J126" s="15"/>
      <c r="K126" s="15"/>
      <c r="L126" s="15"/>
      <c r="M126" s="15"/>
      <c r="N126" s="15"/>
      <c r="O126" s="15"/>
      <c r="P126" s="15"/>
      <c r="Q126" s="15"/>
      <c r="R126" s="15"/>
      <c r="S126" s="15"/>
      <c r="T126" s="15"/>
      <c r="U126" s="229" t="s">
        <v>1059</v>
      </c>
      <c r="V126" s="228" t="s">
        <v>1058</v>
      </c>
      <c r="W126" s="74"/>
      <c r="X126" s="953">
        <f>+SUMIFS(COMPRAS!BG:BG,COMPRAS!BF:BF,V126,COMPRAS!DD:DD,"SI")+SUMIFS(COMPRAS!BP:BP,COMPRAS!BO:BO,V126,COMPRAS!DD:DD,"SI")+SUMIFS(COMPRAS!BY:BY,COMPRAS!BX:BX,V126,COMPRAS!DD:DD,"SI")</f>
        <v>0</v>
      </c>
      <c r="Y126" s="954"/>
      <c r="Z126" s="954"/>
      <c r="AA126" s="954"/>
      <c r="AB126" s="130"/>
      <c r="AC126" s="54"/>
      <c r="AD126" s="53"/>
      <c r="AE126" s="953">
        <f>SUMIFS(COMPRAS!BI:BI,COMPRAS!BF:BF,V126,COMPRAS!DD:DD,"SI")+SUMIFS(COMPRAS!BR:BR,COMPRAS!BO:BO,V126,COMPRAS!DD:DD,"SI")+SUMIFS(COMPRAS!CA:CA,COMPRAS!BX:BX,V126,COMPRAS!DD:DD,"SI")</f>
        <v>0</v>
      </c>
      <c r="AF126" s="954"/>
      <c r="AG126" s="954"/>
      <c r="AH126" s="954"/>
      <c r="AI126" s="14"/>
    </row>
    <row r="127" spans="1:36" ht="21" hidden="1" customHeight="1" outlineLevel="2" thickBot="1" x14ac:dyDescent="0.4">
      <c r="A127" s="1077"/>
      <c r="B127" s="989"/>
      <c r="C127" s="997"/>
      <c r="D127" s="37"/>
      <c r="E127" s="37"/>
      <c r="F127" s="37"/>
      <c r="G127" s="37"/>
      <c r="H127" s="37"/>
      <c r="I127" s="37"/>
      <c r="J127" s="37"/>
      <c r="K127" s="37"/>
      <c r="L127" s="37"/>
      <c r="M127" s="37"/>
      <c r="N127" s="37"/>
      <c r="O127" s="37"/>
      <c r="P127" s="37"/>
      <c r="Q127" s="37"/>
      <c r="R127" s="37"/>
      <c r="S127" s="37"/>
      <c r="T127" s="37"/>
      <c r="U127" s="229" t="s">
        <v>1061</v>
      </c>
      <c r="V127" s="835" t="s">
        <v>1060</v>
      </c>
      <c r="W127" s="836"/>
      <c r="X127" s="966">
        <f>+SUMIFS(COMPRAS!BG:BG,COMPRAS!BF:BF,V127,COMPRAS!DD:DD,"SI")+SUMIFS(COMPRAS!BP:BP,COMPRAS!BO:BO,V127,COMPRAS!DD:DD,"SI")+SUMIFS(COMPRAS!BY:BY,COMPRAS!BX:BX,V127,COMPRAS!DD:DD,"SI")</f>
        <v>0</v>
      </c>
      <c r="Y127" s="967"/>
      <c r="Z127" s="967"/>
      <c r="AA127" s="967"/>
      <c r="AB127" s="242"/>
      <c r="AC127" s="52"/>
      <c r="AD127" s="51"/>
      <c r="AE127" s="966">
        <f>SUMIFS(COMPRAS!BI:BI,COMPRAS!BF:BF,V127,COMPRAS!DD:DD,"SI")+SUMIFS(COMPRAS!BR:BR,COMPRAS!BO:BO,V127,COMPRAS!DD:DD,"SI")+SUMIFS(COMPRAS!CA:CA,COMPRAS!BX:BX,V127,COMPRAS!DD:DD,"SI")</f>
        <v>0</v>
      </c>
      <c r="AF127" s="967"/>
      <c r="AG127" s="967"/>
      <c r="AH127" s="967"/>
      <c r="AI127" s="205"/>
    </row>
    <row r="128" spans="1:36" ht="21" customHeight="1" outlineLevel="1" collapsed="1" thickBot="1" x14ac:dyDescent="0.4">
      <c r="A128" s="957" t="s">
        <v>2267</v>
      </c>
      <c r="B128" s="958"/>
      <c r="C128" s="958"/>
      <c r="D128" s="958"/>
      <c r="E128" s="958"/>
      <c r="F128" s="958"/>
      <c r="G128" s="958"/>
      <c r="H128" s="958"/>
      <c r="I128" s="958"/>
      <c r="J128" s="958"/>
      <c r="K128" s="958"/>
      <c r="L128" s="958"/>
      <c r="M128" s="958"/>
      <c r="N128" s="958"/>
      <c r="O128" s="958"/>
      <c r="P128" s="958"/>
      <c r="Q128" s="958"/>
      <c r="R128" s="958"/>
      <c r="S128" s="958"/>
      <c r="T128" s="958"/>
      <c r="U128" s="958"/>
      <c r="V128" s="958"/>
      <c r="W128" s="958"/>
      <c r="X128" s="958"/>
      <c r="Y128" s="958"/>
      <c r="Z128" s="958"/>
      <c r="AA128" s="958"/>
      <c r="AB128" s="958"/>
      <c r="AC128" s="958"/>
      <c r="AD128" s="958"/>
      <c r="AE128" s="958"/>
      <c r="AF128" s="958"/>
      <c r="AG128" s="958"/>
      <c r="AH128" s="958"/>
      <c r="AI128" s="959"/>
    </row>
    <row r="129" spans="1:37" ht="21.75" customHeight="1" outlineLevel="1" x14ac:dyDescent="0.35">
      <c r="A129" s="1077" t="s">
        <v>2268</v>
      </c>
      <c r="B129" s="989"/>
      <c r="C129" s="997"/>
      <c r="D129" s="43" t="s">
        <v>1165</v>
      </c>
      <c r="E129" s="43"/>
      <c r="F129" s="43"/>
      <c r="G129" s="43"/>
      <c r="H129" s="43"/>
      <c r="I129" s="43"/>
      <c r="J129" s="43"/>
      <c r="K129" s="43"/>
      <c r="L129" s="43"/>
      <c r="M129" s="43"/>
      <c r="N129" s="43"/>
      <c r="O129" s="1061" t="s">
        <v>957</v>
      </c>
      <c r="P129" s="1062"/>
      <c r="Q129" s="111">
        <v>5300</v>
      </c>
      <c r="R129" s="225" t="s">
        <v>770</v>
      </c>
      <c r="S129" s="1063"/>
      <c r="T129" s="1064"/>
      <c r="U129" s="1065"/>
      <c r="V129" s="111">
        <v>3400</v>
      </c>
      <c r="W129" s="225" t="s">
        <v>770</v>
      </c>
      <c r="X129" s="955">
        <f>SUM(X130)</f>
        <v>0</v>
      </c>
      <c r="Y129" s="956"/>
      <c r="Z129" s="956"/>
      <c r="AA129" s="956"/>
      <c r="AB129" s="142"/>
      <c r="AC129" s="226">
        <v>3900</v>
      </c>
      <c r="AD129" s="74" t="s">
        <v>770</v>
      </c>
      <c r="AE129" s="955">
        <f>SUM(AE130)</f>
        <v>0</v>
      </c>
      <c r="AF129" s="956"/>
      <c r="AG129" s="956"/>
      <c r="AH129" s="956"/>
      <c r="AI129" s="206"/>
      <c r="AJ129" s="270"/>
    </row>
    <row r="130" spans="1:37" ht="21" hidden="1" customHeight="1" outlineLevel="1" x14ac:dyDescent="0.35">
      <c r="A130" s="1077"/>
      <c r="B130" s="989"/>
      <c r="C130" s="997"/>
      <c r="D130" s="15"/>
      <c r="E130" s="15"/>
      <c r="F130" s="15"/>
      <c r="G130" s="15"/>
      <c r="H130" s="15"/>
      <c r="I130" s="15"/>
      <c r="J130" s="15"/>
      <c r="K130" s="15"/>
      <c r="L130" s="15"/>
      <c r="M130" s="15"/>
      <c r="N130" s="15"/>
      <c r="O130" s="15"/>
      <c r="P130" s="15"/>
      <c r="Q130" s="15"/>
      <c r="R130" s="15"/>
      <c r="S130" s="15"/>
      <c r="T130" s="15"/>
      <c r="U130" s="245" t="s">
        <v>1165</v>
      </c>
      <c r="V130" s="246">
        <v>340</v>
      </c>
      <c r="W130" s="225"/>
      <c r="X130" s="953">
        <f>+SUMIFS(COMPRAS!BG:BG,COMPRAS!BF:BF,V130,COMPRAS!DD:DD,"SI")+SUMIFS(COMPRAS!BP:BP,COMPRAS!BO:BO,V130,COMPRAS!DD:DD,"SI")+SUMIFS(COMPRAS!BY:BY,COMPRAS!BX:BX,V130,COMPRAS!DD:DD,"SI")</f>
        <v>0</v>
      </c>
      <c r="Y130" s="954"/>
      <c r="Z130" s="954"/>
      <c r="AA130" s="954"/>
      <c r="AB130" s="130"/>
      <c r="AC130" s="226"/>
      <c r="AD130" s="74"/>
      <c r="AE130" s="953">
        <f>SUMIFS(COMPRAS!BI:BI,COMPRAS!BF:BF,V130,COMPRAS!DD:DD,"SI")+SUMIFS(COMPRAS!BR:BR,COMPRAS!BO:BO,V130,COMPRAS!DD:DD,"SI")+SUMIFS(COMPRAS!CA:CA,COMPRAS!BX:BX,V130,COMPRAS!DD:DD,"SI")</f>
        <v>0</v>
      </c>
      <c r="AF130" s="954"/>
      <c r="AG130" s="954"/>
      <c r="AH130" s="954"/>
      <c r="AI130" s="14"/>
    </row>
    <row r="131" spans="1:37" ht="21.75" customHeight="1" outlineLevel="1" x14ac:dyDescent="0.35">
      <c r="A131" s="1077"/>
      <c r="B131" s="989"/>
      <c r="C131" s="997"/>
      <c r="D131" s="15" t="s">
        <v>1164</v>
      </c>
      <c r="E131" s="15"/>
      <c r="F131" s="15"/>
      <c r="G131" s="15"/>
      <c r="H131" s="15"/>
      <c r="I131" s="15"/>
      <c r="J131" s="15"/>
      <c r="K131" s="15"/>
      <c r="L131" s="15"/>
      <c r="M131" s="15"/>
      <c r="N131" s="15"/>
      <c r="O131" s="1059" t="s">
        <v>957</v>
      </c>
      <c r="P131" s="1060"/>
      <c r="Q131" s="54">
        <v>5100</v>
      </c>
      <c r="R131" s="225" t="s">
        <v>770</v>
      </c>
      <c r="S131" s="968"/>
      <c r="T131" s="969"/>
      <c r="U131" s="970"/>
      <c r="V131" s="54">
        <v>3380</v>
      </c>
      <c r="W131" s="225" t="s">
        <v>770</v>
      </c>
      <c r="X131" s="953">
        <f>SUM(X132)</f>
        <v>0</v>
      </c>
      <c r="Y131" s="954"/>
      <c r="Z131" s="954"/>
      <c r="AA131" s="954"/>
      <c r="AB131" s="130"/>
      <c r="AC131" s="226">
        <v>3880</v>
      </c>
      <c r="AD131" s="74" t="s">
        <v>770</v>
      </c>
      <c r="AE131" s="953">
        <f>SUM(AE132)</f>
        <v>0</v>
      </c>
      <c r="AF131" s="954"/>
      <c r="AG131" s="954"/>
      <c r="AH131" s="954"/>
      <c r="AI131" s="14"/>
      <c r="AJ131" s="270"/>
    </row>
    <row r="132" spans="1:37" ht="21" hidden="1" customHeight="1" outlineLevel="1" x14ac:dyDescent="0.35">
      <c r="A132" s="1077"/>
      <c r="B132" s="989"/>
      <c r="C132" s="997"/>
      <c r="D132" s="15"/>
      <c r="E132" s="15"/>
      <c r="F132" s="15"/>
      <c r="G132" s="15"/>
      <c r="H132" s="15"/>
      <c r="I132" s="15"/>
      <c r="J132" s="15"/>
      <c r="K132" s="15"/>
      <c r="L132" s="15"/>
      <c r="M132" s="15"/>
      <c r="N132" s="15"/>
      <c r="O132" s="15"/>
      <c r="P132" s="15"/>
      <c r="Q132" s="15"/>
      <c r="R132" s="15"/>
      <c r="S132" s="15"/>
      <c r="T132" s="15"/>
      <c r="U132" s="245" t="s">
        <v>1164</v>
      </c>
      <c r="V132" s="246">
        <v>338</v>
      </c>
      <c r="W132" s="225"/>
      <c r="X132" s="953">
        <f>+SUMIFS(COMPRAS!BG:BG,COMPRAS!BF:BF,V132,COMPRAS!DD:DD,"SI")+SUMIFS(COMPRAS!BP:BP,COMPRAS!BO:BO,V132,COMPRAS!DD:DD,"SI")+SUMIFS(COMPRAS!BY:BY,COMPRAS!BX:BX,V132,COMPRAS!DD:DD,"SI")</f>
        <v>0</v>
      </c>
      <c r="Y132" s="954"/>
      <c r="Z132" s="954"/>
      <c r="AA132" s="954"/>
      <c r="AB132" s="130"/>
      <c r="AC132" s="226"/>
      <c r="AD132" s="74"/>
      <c r="AE132" s="953">
        <f>SUMIFS(COMPRAS!BI:BI,COMPRAS!BF:BF,V132,COMPRAS!DD:DD,"SI")+SUMIFS(COMPRAS!BR:BR,COMPRAS!BO:BO,V132,COMPRAS!DD:DD,"SI")+SUMIFS(COMPRAS!CA:CA,COMPRAS!BX:BX,V132,COMPRAS!DD:DD,"SI")</f>
        <v>0</v>
      </c>
      <c r="AF132" s="954"/>
      <c r="AG132" s="954"/>
      <c r="AH132" s="954"/>
      <c r="AI132" s="14"/>
      <c r="AK132" s="269"/>
    </row>
    <row r="133" spans="1:37" ht="21.75" customHeight="1" outlineLevel="1" x14ac:dyDescent="0.35">
      <c r="A133" s="1077"/>
      <c r="B133" s="989"/>
      <c r="C133" s="997"/>
      <c r="D133" s="15" t="s">
        <v>962</v>
      </c>
      <c r="E133" s="15"/>
      <c r="F133" s="15"/>
      <c r="G133" s="15"/>
      <c r="H133" s="15"/>
      <c r="I133" s="15"/>
      <c r="J133" s="15"/>
      <c r="K133" s="15"/>
      <c r="L133" s="15"/>
      <c r="M133" s="15"/>
      <c r="N133" s="15"/>
      <c r="O133" s="1059" t="s">
        <v>957</v>
      </c>
      <c r="P133" s="1060"/>
      <c r="Q133" s="54">
        <v>510</v>
      </c>
      <c r="R133" s="225" t="s">
        <v>770</v>
      </c>
      <c r="S133" s="968"/>
      <c r="T133" s="969"/>
      <c r="U133" s="970"/>
      <c r="V133" s="54">
        <v>338</v>
      </c>
      <c r="W133" s="225" t="s">
        <v>770</v>
      </c>
      <c r="X133" s="953">
        <f>+SUMIFS(COMPRAS!BG:BG,COMPRAS!BF:BF,V133,COMPRAS!DD:DD,"SI")+SUMIFS(COMPRAS!BP:BP,COMPRAS!BO:BO,V133,COMPRAS!DD:DD,"SI")+SUMIFS(COMPRAS!BY:BY,COMPRAS!BX:BX,V133,COMPRAS!DD:DD,"SI")</f>
        <v>0</v>
      </c>
      <c r="Y133" s="954"/>
      <c r="Z133" s="954"/>
      <c r="AA133" s="954"/>
      <c r="AB133" s="130"/>
      <c r="AC133" s="226">
        <v>388</v>
      </c>
      <c r="AD133" s="74" t="s">
        <v>770</v>
      </c>
      <c r="AE133" s="953">
        <f>SUMIFS(COMPRAS!BI:BI,COMPRAS!BF:BF,V133,COMPRAS!DD:DD,"SI")+SUMIFS(COMPRAS!BR:BR,COMPRAS!BO:BO,V133,COMPRAS!DD:DD,"SI")+SUMIFS(COMPRAS!CA:CA,COMPRAS!BX:BX,V133,COMPRAS!DD:DD,"SI")</f>
        <v>0</v>
      </c>
      <c r="AF133" s="954"/>
      <c r="AG133" s="954"/>
      <c r="AH133" s="954"/>
      <c r="AI133" s="14"/>
      <c r="AJ133" s="270"/>
    </row>
    <row r="134" spans="1:37" ht="21.75" customHeight="1" outlineLevel="1" x14ac:dyDescent="0.35">
      <c r="A134" s="1077"/>
      <c r="B134" s="989"/>
      <c r="C134" s="997"/>
      <c r="D134" s="15" t="s">
        <v>961</v>
      </c>
      <c r="E134" s="15"/>
      <c r="F134" s="15"/>
      <c r="G134" s="15"/>
      <c r="H134" s="15"/>
      <c r="I134" s="15"/>
      <c r="J134" s="15"/>
      <c r="K134" s="15"/>
      <c r="L134" s="15"/>
      <c r="M134" s="15"/>
      <c r="N134" s="15"/>
      <c r="O134" s="1059" t="s">
        <v>957</v>
      </c>
      <c r="P134" s="1060"/>
      <c r="Q134" s="54">
        <v>520</v>
      </c>
      <c r="R134" s="225" t="s">
        <v>770</v>
      </c>
      <c r="S134" s="968"/>
      <c r="T134" s="969"/>
      <c r="U134" s="970"/>
      <c r="V134" s="54">
        <v>339</v>
      </c>
      <c r="W134" s="225" t="s">
        <v>770</v>
      </c>
      <c r="X134" s="953">
        <f>+SUMIFS(COMPRAS!BG:BG,COMPRAS!BF:BF,V134,COMPRAS!DD:DD,"SI")+SUMIFS(COMPRAS!BP:BP,COMPRAS!BO:BO,V134,COMPRAS!DD:DD,"SI")+SUMIFS(COMPRAS!BY:BY,COMPRAS!BX:BX,V134,COMPRAS!DD:DD,"SI")</f>
        <v>0</v>
      </c>
      <c r="Y134" s="954"/>
      <c r="Z134" s="954"/>
      <c r="AA134" s="954"/>
      <c r="AB134" s="130"/>
      <c r="AC134" s="226">
        <v>389</v>
      </c>
      <c r="AD134" s="74" t="s">
        <v>770</v>
      </c>
      <c r="AE134" s="953">
        <f>SUMIFS(COMPRAS!BI:BI,COMPRAS!BF:BF,V134,COMPRAS!DD:DD,"SI")+SUMIFS(COMPRAS!BR:BR,COMPRAS!BO:BO,V134,COMPRAS!DD:DD,"SI")+SUMIFS(COMPRAS!CA:CA,COMPRAS!BX:BX,V134,COMPRAS!DD:DD,"SI")</f>
        <v>0</v>
      </c>
      <c r="AF134" s="954"/>
      <c r="AG134" s="954"/>
      <c r="AH134" s="954"/>
      <c r="AI134" s="14"/>
      <c r="AJ134" s="270"/>
    </row>
    <row r="135" spans="1:37" ht="21.75" customHeight="1" outlineLevel="1" x14ac:dyDescent="0.35">
      <c r="A135" s="1077"/>
      <c r="B135" s="989"/>
      <c r="C135" s="997"/>
      <c r="D135" s="15" t="s">
        <v>960</v>
      </c>
      <c r="E135" s="15"/>
      <c r="F135" s="15"/>
      <c r="G135" s="15"/>
      <c r="H135" s="15"/>
      <c r="I135" s="15"/>
      <c r="J135" s="15"/>
      <c r="K135" s="15"/>
      <c r="L135" s="15"/>
      <c r="M135" s="15"/>
      <c r="N135" s="15"/>
      <c r="O135" s="1059" t="s">
        <v>957</v>
      </c>
      <c r="P135" s="1060"/>
      <c r="Q135" s="54">
        <v>530</v>
      </c>
      <c r="R135" s="225" t="s">
        <v>770</v>
      </c>
      <c r="S135" s="968"/>
      <c r="T135" s="969"/>
      <c r="U135" s="970"/>
      <c r="V135" s="54">
        <v>340</v>
      </c>
      <c r="W135" s="225" t="s">
        <v>770</v>
      </c>
      <c r="X135" s="953">
        <f>+SUMIFS(COMPRAS!BG:BG,COMPRAS!BF:BF,V135,COMPRAS!DD:DD,"SI")+SUMIFS(COMPRAS!BP:BP,COMPRAS!BO:BO,V135,COMPRAS!DD:DD,"SI")+SUMIFS(COMPRAS!BY:BY,COMPRAS!BX:BX,V135,COMPRAS!DD:DD,"SI")</f>
        <v>0</v>
      </c>
      <c r="Y135" s="954"/>
      <c r="Z135" s="954"/>
      <c r="AA135" s="954"/>
      <c r="AB135" s="130"/>
      <c r="AC135" s="226">
        <v>390</v>
      </c>
      <c r="AD135" s="74" t="s">
        <v>770</v>
      </c>
      <c r="AE135" s="953">
        <f>SUMIFS(COMPRAS!BI:BI,COMPRAS!BF:BF,V135,COMPRAS!DD:DD,"SI")+SUMIFS(COMPRAS!BR:BR,COMPRAS!BO:BO,V135,COMPRAS!DD:DD,"SI")+SUMIFS(COMPRAS!CA:CA,COMPRAS!BX:BX,V135,COMPRAS!DD:DD,"SI")</f>
        <v>0</v>
      </c>
      <c r="AF135" s="954"/>
      <c r="AG135" s="954"/>
      <c r="AH135" s="954"/>
      <c r="AI135" s="14"/>
      <c r="AJ135" s="270"/>
    </row>
    <row r="136" spans="1:37" ht="21.75" customHeight="1" outlineLevel="1" x14ac:dyDescent="0.35">
      <c r="A136" s="1077"/>
      <c r="B136" s="989"/>
      <c r="C136" s="997"/>
      <c r="D136" s="15" t="s">
        <v>959</v>
      </c>
      <c r="E136" s="15"/>
      <c r="F136" s="15"/>
      <c r="G136" s="15"/>
      <c r="H136" s="15"/>
      <c r="I136" s="15"/>
      <c r="J136" s="15"/>
      <c r="K136" s="15"/>
      <c r="L136" s="15"/>
      <c r="M136" s="15"/>
      <c r="N136" s="15"/>
      <c r="O136" s="1059" t="s">
        <v>957</v>
      </c>
      <c r="P136" s="1060"/>
      <c r="Q136" s="54">
        <v>540</v>
      </c>
      <c r="R136" s="225" t="s">
        <v>770</v>
      </c>
      <c r="S136" s="968"/>
      <c r="T136" s="969"/>
      <c r="U136" s="970"/>
      <c r="V136" s="54">
        <v>341</v>
      </c>
      <c r="W136" s="225" t="s">
        <v>770</v>
      </c>
      <c r="X136" s="953">
        <f>+SUMIFS(COMPRAS!BG:BG,COMPRAS!BF:BF,V136,COMPRAS!DD:DD,"SI")+SUMIFS(COMPRAS!BP:BP,COMPRAS!BO:BO,V136,COMPRAS!DD:DD,"SI")+SUMIFS(COMPRAS!BY:BY,COMPRAS!BX:BX,V136,COMPRAS!DD:DD,"SI")</f>
        <v>0</v>
      </c>
      <c r="Y136" s="954"/>
      <c r="Z136" s="954"/>
      <c r="AA136" s="954"/>
      <c r="AB136" s="130"/>
      <c r="AC136" s="226">
        <v>391</v>
      </c>
      <c r="AD136" s="74" t="s">
        <v>770</v>
      </c>
      <c r="AE136" s="953">
        <f>SUMIFS(COMPRAS!BI:BI,COMPRAS!BF:BF,V136,COMPRAS!DD:DD,"SI")+SUMIFS(COMPRAS!BR:BR,COMPRAS!BO:BO,V136,COMPRAS!DD:DD,"SI")+SUMIFS(COMPRAS!CA:CA,COMPRAS!BX:BX,V136,COMPRAS!DD:DD,"SI")</f>
        <v>0</v>
      </c>
      <c r="AF136" s="954"/>
      <c r="AG136" s="954"/>
      <c r="AH136" s="954"/>
      <c r="AI136" s="14"/>
      <c r="AJ136" s="270"/>
    </row>
    <row r="137" spans="1:37" ht="21.75" customHeight="1" outlineLevel="1" x14ac:dyDescent="0.35">
      <c r="A137" s="1077"/>
      <c r="B137" s="989"/>
      <c r="C137" s="997"/>
      <c r="D137" s="15" t="s">
        <v>958</v>
      </c>
      <c r="E137" s="15"/>
      <c r="F137" s="15"/>
      <c r="G137" s="15"/>
      <c r="H137" s="15"/>
      <c r="I137" s="15"/>
      <c r="J137" s="15"/>
      <c r="K137" s="15"/>
      <c r="L137" s="15"/>
      <c r="M137" s="15"/>
      <c r="N137" s="15"/>
      <c r="O137" s="1059" t="s">
        <v>957</v>
      </c>
      <c r="P137" s="1060"/>
      <c r="Q137" s="54">
        <v>550</v>
      </c>
      <c r="R137" s="225" t="s">
        <v>770</v>
      </c>
      <c r="S137" s="968"/>
      <c r="T137" s="969"/>
      <c r="U137" s="970"/>
      <c r="V137" s="54">
        <v>342</v>
      </c>
      <c r="W137" s="225" t="s">
        <v>770</v>
      </c>
      <c r="X137" s="953">
        <f>SUM(X138:AA138)</f>
        <v>0</v>
      </c>
      <c r="Y137" s="954"/>
      <c r="Z137" s="954"/>
      <c r="AA137" s="954"/>
      <c r="AB137" s="130"/>
      <c r="AC137" s="226">
        <v>392</v>
      </c>
      <c r="AD137" s="74" t="s">
        <v>770</v>
      </c>
      <c r="AE137" s="953">
        <f>SUM(AE138:AH138)</f>
        <v>0</v>
      </c>
      <c r="AF137" s="954"/>
      <c r="AG137" s="954"/>
      <c r="AH137" s="954"/>
      <c r="AI137" s="14"/>
      <c r="AJ137" s="270"/>
    </row>
    <row r="138" spans="1:37" ht="21" hidden="1" customHeight="1" outlineLevel="2" x14ac:dyDescent="0.35">
      <c r="A138" s="1078"/>
      <c r="B138" s="1079"/>
      <c r="C138" s="1080"/>
      <c r="D138" s="37"/>
      <c r="E138" s="15"/>
      <c r="F138" s="15"/>
      <c r="G138" s="15"/>
      <c r="H138" s="15"/>
      <c r="I138" s="15"/>
      <c r="J138" s="15"/>
      <c r="K138" s="15"/>
      <c r="L138" s="15"/>
      <c r="M138" s="15"/>
      <c r="N138" s="15"/>
      <c r="O138" s="15"/>
      <c r="P138" s="15"/>
      <c r="Q138" s="15"/>
      <c r="R138" s="15"/>
      <c r="S138" s="15"/>
      <c r="T138" s="15"/>
      <c r="U138" s="245" t="s">
        <v>164</v>
      </c>
      <c r="V138" s="246">
        <v>342</v>
      </c>
      <c r="W138" s="225"/>
      <c r="X138" s="953">
        <f>+SUMIFS(COMPRAS!BG:BG,COMPRAS!BF:BF,V138,COMPRAS!DD:DD,"SI")+SUMIFS(COMPRAS!BP:BP,COMPRAS!BO:BO,V138,COMPRAS!DD:DD,"SI")+SUMIFS(COMPRAS!BY:BY,COMPRAS!BX:BX,V138,COMPRAS!DD:DD,"SI")</f>
        <v>0</v>
      </c>
      <c r="Y138" s="954"/>
      <c r="Z138" s="954"/>
      <c r="AA138" s="954"/>
      <c r="AB138" s="130"/>
      <c r="AC138" s="226"/>
      <c r="AD138" s="74"/>
      <c r="AE138" s="953">
        <f>SUMIFS(COMPRAS!BI:BI,COMPRAS!BF:BF,V138,COMPRAS!DD:DD,"SI")+SUMIFS(COMPRAS!BR:BR,COMPRAS!BO:BO,V138,COMPRAS!DD:DD,"SI")+SUMIFS(COMPRAS!CA:CA,COMPRAS!BX:BX,V138,COMPRAS!DD:DD,"SI")</f>
        <v>0</v>
      </c>
      <c r="AF138" s="954"/>
      <c r="AG138" s="954"/>
      <c r="AH138" s="954"/>
      <c r="AI138" s="14"/>
    </row>
    <row r="139" spans="1:37" ht="21" customHeight="1" outlineLevel="1" collapsed="1" x14ac:dyDescent="0.35">
      <c r="A139" s="271" t="s">
        <v>1159</v>
      </c>
      <c r="B139" s="15"/>
      <c r="C139" s="15"/>
      <c r="D139" s="15"/>
      <c r="E139" s="15"/>
      <c r="F139" s="15"/>
      <c r="G139" s="15"/>
      <c r="H139" s="15"/>
      <c r="I139" s="15"/>
      <c r="J139" s="15"/>
      <c r="K139" s="15"/>
      <c r="L139" s="15"/>
      <c r="M139" s="15"/>
      <c r="N139" s="15"/>
      <c r="O139" s="15"/>
      <c r="P139" s="15"/>
      <c r="Q139" s="15"/>
      <c r="R139" s="15"/>
      <c r="S139" s="15"/>
      <c r="T139" s="15"/>
      <c r="U139" s="245"/>
      <c r="V139" s="54">
        <v>348</v>
      </c>
      <c r="W139" s="225" t="s">
        <v>770</v>
      </c>
      <c r="X139" s="953">
        <f>SUM(X140:AA141)</f>
        <v>0</v>
      </c>
      <c r="Y139" s="954"/>
      <c r="Z139" s="954"/>
      <c r="AA139" s="954"/>
      <c r="AB139" s="130"/>
      <c r="AC139" s="226">
        <v>398</v>
      </c>
      <c r="AD139" s="74" t="s">
        <v>770</v>
      </c>
      <c r="AE139" s="953">
        <f>SUM(AE140:AH141)</f>
        <v>0</v>
      </c>
      <c r="AF139" s="954"/>
      <c r="AG139" s="954"/>
      <c r="AH139" s="954"/>
      <c r="AI139" s="14"/>
      <c r="AJ139" s="270"/>
    </row>
    <row r="140" spans="1:37" ht="21" hidden="1" customHeight="1" outlineLevel="2" x14ac:dyDescent="0.35">
      <c r="A140" s="41"/>
      <c r="B140" s="15"/>
      <c r="C140" s="15"/>
      <c r="D140" s="15"/>
      <c r="E140" s="15"/>
      <c r="F140" s="15"/>
      <c r="G140" s="15"/>
      <c r="H140" s="15"/>
      <c r="I140" s="15"/>
      <c r="J140" s="15"/>
      <c r="K140" s="15"/>
      <c r="L140" s="15"/>
      <c r="M140" s="15"/>
      <c r="N140" s="15"/>
      <c r="O140" s="15"/>
      <c r="P140" s="15"/>
      <c r="Q140" s="15"/>
      <c r="R140" s="15"/>
      <c r="S140" s="15"/>
      <c r="T140" s="15"/>
      <c r="U140" s="245" t="s">
        <v>1158</v>
      </c>
      <c r="V140" s="246">
        <v>348</v>
      </c>
      <c r="W140" s="225"/>
      <c r="X140" s="953">
        <f>+SUMIFS(COMPRAS!BG:BG,COMPRAS!BF:BF,V140,COMPRAS!DD:DD,"SI")+SUMIFS(COMPRAS!BP:BP,COMPRAS!BO:BO,V140,COMPRAS!DD:DD,"SI")+SUMIFS(COMPRAS!BY:BY,COMPRAS!BX:BX,V140,COMPRAS!DD:DD,"SI")</f>
        <v>0</v>
      </c>
      <c r="Y140" s="954"/>
      <c r="Z140" s="954"/>
      <c r="AA140" s="954"/>
      <c r="AB140" s="130"/>
      <c r="AC140" s="226"/>
      <c r="AD140" s="74"/>
      <c r="AE140" s="953">
        <f>SUMIFS(COMPRAS!BI:BI,COMPRAS!BF:BF,V140,COMPRAS!DD:DD,"SI")+SUMIFS(COMPRAS!BR:BR,COMPRAS!BO:BO,V140,COMPRAS!DD:DD,"SI")+SUMIFS(COMPRAS!CA:CA,COMPRAS!BX:BX,V140,COMPRAS!DD:DD,"SI")</f>
        <v>0</v>
      </c>
      <c r="AF140" s="954"/>
      <c r="AG140" s="954"/>
      <c r="AH140" s="954"/>
      <c r="AI140" s="14"/>
    </row>
    <row r="141" spans="1:37" ht="21" hidden="1" customHeight="1" outlineLevel="2" x14ac:dyDescent="0.35">
      <c r="A141" s="41"/>
      <c r="B141" s="15"/>
      <c r="C141" s="15"/>
      <c r="D141" s="15"/>
      <c r="E141" s="15"/>
      <c r="F141" s="15"/>
      <c r="G141" s="15"/>
      <c r="H141" s="15"/>
      <c r="I141" s="15"/>
      <c r="J141" s="15"/>
      <c r="K141" s="15"/>
      <c r="L141" s="15"/>
      <c r="M141" s="15"/>
      <c r="N141" s="15"/>
      <c r="O141" s="15"/>
      <c r="P141" s="15"/>
      <c r="Q141" s="15"/>
      <c r="R141" s="15"/>
      <c r="S141" s="15"/>
      <c r="T141" s="15"/>
      <c r="U141" s="245" t="s">
        <v>1042</v>
      </c>
      <c r="V141" s="246" t="s">
        <v>1041</v>
      </c>
      <c r="W141" s="225"/>
      <c r="X141" s="953">
        <f>+SUMIFS(COMPRAS!BG:BG,COMPRAS!BF:BF,V141,COMPRAS!DD:DD,"SI")+SUMIFS(COMPRAS!BP:BP,COMPRAS!BO:BO,V141,COMPRAS!DD:DD,"SI")+SUMIFS(COMPRAS!BY:BY,COMPRAS!BX:BX,V141,COMPRAS!DD:DD,"SI")</f>
        <v>0</v>
      </c>
      <c r="Y141" s="954"/>
      <c r="Z141" s="954"/>
      <c r="AA141" s="954"/>
      <c r="AB141" s="130"/>
      <c r="AC141" s="226"/>
      <c r="AD141" s="74"/>
      <c r="AE141" s="953">
        <f>SUMIFS(COMPRAS!BI:BI,COMPRAS!BF:BF,V141,COMPRAS!DD:DD,"SI")+SUMIFS(COMPRAS!BR:BR,COMPRAS!BO:BO,V141,COMPRAS!DD:DD,"SI")+SUMIFS(COMPRAS!CA:CA,COMPRAS!BX:BX,V141,COMPRAS!DD:DD,"SI")</f>
        <v>0</v>
      </c>
      <c r="AF141" s="954"/>
      <c r="AG141" s="954"/>
      <c r="AH141" s="954"/>
      <c r="AI141" s="14"/>
    </row>
    <row r="142" spans="1:37" ht="21" customHeight="1" outlineLevel="1" collapsed="1" x14ac:dyDescent="0.35">
      <c r="A142" s="1081" t="s">
        <v>2269</v>
      </c>
      <c r="B142" s="1082"/>
      <c r="C142" s="1083"/>
      <c r="D142" s="37" t="s">
        <v>2271</v>
      </c>
      <c r="E142" s="15"/>
      <c r="F142" s="15"/>
      <c r="G142" s="15"/>
      <c r="H142" s="15"/>
      <c r="I142" s="15"/>
      <c r="J142" s="15"/>
      <c r="K142" s="15"/>
      <c r="L142" s="15"/>
      <c r="M142" s="15"/>
      <c r="N142" s="15"/>
      <c r="O142" s="15"/>
      <c r="P142" s="15"/>
      <c r="Q142" s="15"/>
      <c r="R142" s="15"/>
      <c r="S142" s="15"/>
      <c r="T142" s="15"/>
      <c r="U142" s="130"/>
      <c r="V142" s="54">
        <v>3483</v>
      </c>
      <c r="W142" s="225" t="s">
        <v>770</v>
      </c>
      <c r="X142" s="953">
        <f>+SUMIFS(COMPRAS!BG:BG,COMPRAS!BF:BF,V142,COMPRAS!DD:DD,"SI")+SUMIFS(COMPRAS!BP:BP,COMPRAS!BO:BO,V142,COMPRAS!DD:DD,"SI")+SUMIFS(COMPRAS!BY:BY,COMPRAS!BX:BX,V142,COMPRAS!DD:DD,"SI")</f>
        <v>0</v>
      </c>
      <c r="Y142" s="954"/>
      <c r="Z142" s="954"/>
      <c r="AA142" s="954"/>
      <c r="AB142" s="130"/>
      <c r="AC142" s="1090"/>
      <c r="AD142" s="1091"/>
      <c r="AE142" s="1091"/>
      <c r="AF142" s="1091"/>
      <c r="AG142" s="1091"/>
      <c r="AH142" s="1091"/>
      <c r="AI142" s="1092"/>
      <c r="AJ142" s="270"/>
    </row>
    <row r="143" spans="1:37" ht="21" customHeight="1" outlineLevel="1" x14ac:dyDescent="0.35">
      <c r="A143" s="1077"/>
      <c r="B143" s="989"/>
      <c r="C143" s="997"/>
      <c r="D143" s="37" t="s">
        <v>2272</v>
      </c>
      <c r="E143" s="37"/>
      <c r="F143" s="15"/>
      <c r="G143" s="15"/>
      <c r="H143" s="15"/>
      <c r="I143" s="15"/>
      <c r="J143" s="15"/>
      <c r="K143" s="15"/>
      <c r="L143" s="15"/>
      <c r="M143" s="15"/>
      <c r="N143" s="15"/>
      <c r="O143" s="15"/>
      <c r="P143" s="15"/>
      <c r="Q143" s="15"/>
      <c r="R143" s="15"/>
      <c r="S143" s="15"/>
      <c r="T143" s="15"/>
      <c r="U143" s="245"/>
      <c r="V143" s="54">
        <v>3484</v>
      </c>
      <c r="W143" s="225" t="s">
        <v>770</v>
      </c>
      <c r="X143" s="953">
        <f>+SUMIFS(COMPRAS!BG:BG,COMPRAS!BF:BF,V143,COMPRAS!DD:DD,"SI")+SUMIFS(COMPRAS!BP:BP,COMPRAS!BO:BO,V143,COMPRAS!DD:DD,"SI")+SUMIFS(COMPRAS!BY:BY,COMPRAS!BX:BX,V143,COMPRAS!DD:DD,"SI")</f>
        <v>0</v>
      </c>
      <c r="Y143" s="954"/>
      <c r="Z143" s="954"/>
      <c r="AA143" s="954"/>
      <c r="AB143" s="130"/>
      <c r="AC143" s="971"/>
      <c r="AD143" s="972"/>
      <c r="AE143" s="972"/>
      <c r="AF143" s="972"/>
      <c r="AG143" s="972"/>
      <c r="AH143" s="972"/>
      <c r="AI143" s="973"/>
      <c r="AJ143" s="270"/>
    </row>
    <row r="144" spans="1:37" ht="21" customHeight="1" outlineLevel="1" x14ac:dyDescent="0.35">
      <c r="A144" s="1077"/>
      <c r="B144" s="989"/>
      <c r="C144" s="997"/>
      <c r="D144" s="37" t="s">
        <v>2273</v>
      </c>
      <c r="E144" s="37"/>
      <c r="F144" s="15"/>
      <c r="G144" s="15"/>
      <c r="H144" s="15"/>
      <c r="I144" s="15"/>
      <c r="J144" s="15"/>
      <c r="K144" s="15"/>
      <c r="L144" s="15"/>
      <c r="M144" s="15"/>
      <c r="N144" s="15"/>
      <c r="O144" s="15"/>
      <c r="P144" s="15"/>
      <c r="Q144" s="15"/>
      <c r="R144" s="15"/>
      <c r="S144" s="15"/>
      <c r="T144" s="15"/>
      <c r="U144" s="245"/>
      <c r="V144" s="54">
        <v>3485</v>
      </c>
      <c r="W144" s="225" t="s">
        <v>770</v>
      </c>
      <c r="X144" s="953">
        <f>+SUMIFS(COMPRAS!BG:BG,COMPRAS!BF:BF,V144,COMPRAS!DD:DD,"SI")+SUMIFS(COMPRAS!BP:BP,COMPRAS!BO:BO,V144,COMPRAS!DD:DD,"SI")+SUMIFS(COMPRAS!BY:BY,COMPRAS!BX:BX,V144,COMPRAS!DD:DD,"SI")</f>
        <v>0</v>
      </c>
      <c r="Y144" s="954"/>
      <c r="Z144" s="954"/>
      <c r="AA144" s="954"/>
      <c r="AB144" s="130"/>
      <c r="AC144" s="960"/>
      <c r="AD144" s="961"/>
      <c r="AE144" s="961"/>
      <c r="AF144" s="961"/>
      <c r="AG144" s="961"/>
      <c r="AH144" s="961"/>
      <c r="AI144" s="962"/>
      <c r="AJ144" s="270"/>
    </row>
    <row r="145" spans="1:36" ht="21" customHeight="1" outlineLevel="1" x14ac:dyDescent="0.35">
      <c r="A145" s="1077"/>
      <c r="B145" s="989"/>
      <c r="C145" s="997"/>
      <c r="D145" s="37" t="s">
        <v>2274</v>
      </c>
      <c r="E145" s="37"/>
      <c r="F145" s="15"/>
      <c r="G145" s="15"/>
      <c r="H145" s="15"/>
      <c r="I145" s="15"/>
      <c r="J145" s="15"/>
      <c r="K145" s="15"/>
      <c r="L145" s="15"/>
      <c r="M145" s="15"/>
      <c r="N145" s="15"/>
      <c r="O145" s="15"/>
      <c r="P145" s="15"/>
      <c r="Q145" s="15"/>
      <c r="R145" s="15"/>
      <c r="S145" s="15"/>
      <c r="T145" s="15"/>
      <c r="U145" s="245"/>
      <c r="V145" s="54">
        <v>3480</v>
      </c>
      <c r="W145" s="225" t="s">
        <v>770</v>
      </c>
      <c r="X145" s="953">
        <f>SUM(X146:AA146)</f>
        <v>0</v>
      </c>
      <c r="Y145" s="954"/>
      <c r="Z145" s="954"/>
      <c r="AA145" s="954"/>
      <c r="AB145" s="130"/>
      <c r="AC145" s="226">
        <v>3980</v>
      </c>
      <c r="AD145" s="74" t="s">
        <v>770</v>
      </c>
      <c r="AE145" s="953">
        <f>SUM(AE146:AH146)</f>
        <v>0</v>
      </c>
      <c r="AF145" s="954"/>
      <c r="AG145" s="954"/>
      <c r="AH145" s="954"/>
      <c r="AI145" s="14"/>
      <c r="AJ145" s="270"/>
    </row>
    <row r="146" spans="1:36" ht="21" hidden="1" customHeight="1" outlineLevel="2" x14ac:dyDescent="0.35">
      <c r="A146" s="1078"/>
      <c r="B146" s="1079"/>
      <c r="C146" s="1080"/>
      <c r="D146" s="839"/>
      <c r="E146" s="37"/>
      <c r="F146" s="15"/>
      <c r="G146" s="15"/>
      <c r="H146" s="15"/>
      <c r="I146" s="15"/>
      <c r="J146" s="15"/>
      <c r="K146" s="15"/>
      <c r="L146" s="15"/>
      <c r="M146" s="15"/>
      <c r="N146" s="15"/>
      <c r="O146" s="15"/>
      <c r="P146" s="15"/>
      <c r="Q146" s="15"/>
      <c r="R146" s="15"/>
      <c r="S146" s="15"/>
      <c r="T146" s="15"/>
      <c r="U146" s="245" t="s">
        <v>2270</v>
      </c>
      <c r="V146" s="246">
        <v>3480</v>
      </c>
      <c r="W146" s="225"/>
      <c r="X146" s="953">
        <f>+SUMIFS(COMPRAS!BG:BG,COMPRAS!BF:BF,V146,COMPRAS!DD:DD,"SI")+SUMIFS(COMPRAS!BP:BP,COMPRAS!BO:BO,V146,COMPRAS!DD:DD,"SI")+SUMIFS(COMPRAS!BY:BY,COMPRAS!BX:BX,V146,COMPRAS!DD:DD,"SI")</f>
        <v>0</v>
      </c>
      <c r="Y146" s="954"/>
      <c r="Z146" s="954"/>
      <c r="AA146" s="954"/>
      <c r="AB146" s="130"/>
      <c r="AC146" s="226"/>
      <c r="AD146" s="74"/>
      <c r="AE146" s="953">
        <f>SUMIFS(COMPRAS!BI:BI,COMPRAS!BF:BF,V146,COMPRAS!DD:DD,"SI")+SUMIFS(COMPRAS!BR:BR,COMPRAS!BO:BO,V146,COMPRAS!DD:DD,"SI")+SUMIFS(COMPRAS!CA:CA,COMPRAS!BX:BX,V146,COMPRAS!DD:DD,"SI")</f>
        <v>0</v>
      </c>
      <c r="AF146" s="954"/>
      <c r="AG146" s="954"/>
      <c r="AH146" s="954"/>
      <c r="AI146" s="14"/>
    </row>
    <row r="147" spans="1:36" ht="8.5" customHeight="1" outlineLevel="1" collapsed="1" thickBot="1" x14ac:dyDescent="0.4">
      <c r="A147" s="41"/>
      <c r="B147" s="15"/>
      <c r="C147" s="15"/>
      <c r="D147" s="15"/>
      <c r="E147" s="15"/>
      <c r="F147" s="15"/>
      <c r="G147" s="15"/>
      <c r="H147" s="15"/>
      <c r="I147" s="15"/>
      <c r="J147" s="15"/>
      <c r="K147" s="15"/>
      <c r="L147" s="15"/>
      <c r="M147" s="15"/>
      <c r="N147" s="15"/>
      <c r="O147" s="15"/>
      <c r="P147" s="15"/>
      <c r="Q147" s="15"/>
      <c r="R147" s="15"/>
      <c r="S147" s="15"/>
      <c r="T147" s="15"/>
      <c r="U147" s="245"/>
      <c r="V147" s="246"/>
      <c r="W147" s="225"/>
      <c r="X147" s="1001"/>
      <c r="Y147" s="1002"/>
      <c r="Z147" s="1002"/>
      <c r="AA147" s="1002"/>
      <c r="AB147" s="130"/>
      <c r="AC147" s="226"/>
      <c r="AD147" s="74"/>
      <c r="AE147" s="1001"/>
      <c r="AF147" s="1002"/>
      <c r="AG147" s="1002"/>
      <c r="AH147" s="1002"/>
      <c r="AI147" s="14"/>
    </row>
    <row r="148" spans="1:36" ht="21" customHeight="1" thickBot="1" x14ac:dyDescent="0.4">
      <c r="A148" s="1069" t="s">
        <v>954</v>
      </c>
      <c r="B148" s="1070"/>
      <c r="C148" s="1070"/>
      <c r="D148" s="1070"/>
      <c r="E148" s="1070"/>
      <c r="F148" s="1070"/>
      <c r="G148" s="1070"/>
      <c r="H148" s="1070"/>
      <c r="I148" s="1070"/>
      <c r="J148" s="1070"/>
      <c r="K148" s="1070"/>
      <c r="L148" s="1070"/>
      <c r="M148" s="1070"/>
      <c r="N148" s="1070"/>
      <c r="O148" s="1070"/>
      <c r="P148" s="1070"/>
      <c r="Q148" s="1070"/>
      <c r="R148" s="1070"/>
      <c r="S148" s="1070"/>
      <c r="T148" s="1070"/>
      <c r="U148" s="1071"/>
      <c r="V148" s="216">
        <v>349</v>
      </c>
      <c r="W148" s="244" t="s">
        <v>768</v>
      </c>
      <c r="X148" s="974">
        <f>X18+X19+X21+X23+X30+X31+X32+X33+X34+X36+X39+X41+X43+X64+X71+X72+X38+X74+X87+X91+X98+X101+X102+X103+X104+X105+X106+X107+X53+X108+X109+X111+X115+X116+X117+X131+X129+X133+X134+X135+X136+X137+X45+X49+X121+X122+X123+X139+X113+X69+X119+X145</f>
        <v>0</v>
      </c>
      <c r="Y148" s="975"/>
      <c r="Z148" s="975"/>
      <c r="AA148" s="975"/>
      <c r="AB148" s="78"/>
      <c r="AC148" s="216">
        <v>399</v>
      </c>
      <c r="AD148" s="244" t="s">
        <v>768</v>
      </c>
      <c r="AE148" s="974">
        <f>AE18+AE19+AE21+AE23+AE30+AE31+AE32+AE33+AE34+AE36+AE39+AE41+AE43+AE64+AE71+AE72+AE38+AE74+AE87+AE91+AE98+AE101+AE102+AE103+AE104+AE105+AE106+AE107+AE53+AE108+AE109+AE111+AE115+AE116+AE117+AE131+AE129+AE133+AE134+AE135+AE136+AE137+AE45+AE49+AE121+AE122+AE123+AE139+AE113+AE69+AE119+AE145</f>
        <v>0</v>
      </c>
      <c r="AF148" s="975"/>
      <c r="AG148" s="975"/>
      <c r="AH148" s="975"/>
      <c r="AI148" s="56"/>
    </row>
    <row r="149" spans="1:36" ht="21" customHeight="1" thickBot="1" x14ac:dyDescent="0.4">
      <c r="A149" s="1066" t="s">
        <v>953</v>
      </c>
      <c r="B149" s="1067"/>
      <c r="C149" s="1067"/>
      <c r="D149" s="1067"/>
      <c r="E149" s="1067"/>
      <c r="F149" s="1067"/>
      <c r="G149" s="1067"/>
      <c r="H149" s="1067"/>
      <c r="I149" s="1067"/>
      <c r="J149" s="1067"/>
      <c r="K149" s="1067"/>
      <c r="L149" s="1067"/>
      <c r="M149" s="1067"/>
      <c r="N149" s="1067"/>
      <c r="O149" s="1067"/>
      <c r="P149" s="1067"/>
      <c r="Q149" s="1067"/>
      <c r="R149" s="1067"/>
      <c r="S149" s="1067"/>
      <c r="T149" s="1067"/>
      <c r="U149" s="1067"/>
      <c r="V149" s="1067"/>
      <c r="W149" s="1067"/>
      <c r="X149" s="1067"/>
      <c r="Y149" s="1067"/>
      <c r="Z149" s="1067"/>
      <c r="AA149" s="1067"/>
      <c r="AB149" s="1067"/>
      <c r="AC149" s="1067"/>
      <c r="AD149" s="1067"/>
      <c r="AE149" s="1067"/>
      <c r="AF149" s="1067"/>
      <c r="AG149" s="1067"/>
      <c r="AH149" s="1067"/>
      <c r="AI149" s="1068"/>
    </row>
    <row r="150" spans="1:36" ht="21" customHeight="1" outlineLevel="1" x14ac:dyDescent="0.35">
      <c r="A150" s="985" t="s">
        <v>952</v>
      </c>
      <c r="B150" s="986"/>
      <c r="C150" s="996"/>
      <c r="D150" s="118" t="s">
        <v>951</v>
      </c>
      <c r="E150" s="118"/>
      <c r="F150" s="118"/>
      <c r="G150" s="118"/>
      <c r="H150" s="118"/>
      <c r="I150" s="118"/>
      <c r="J150" s="118"/>
      <c r="K150" s="118"/>
      <c r="L150" s="118"/>
      <c r="M150" s="118"/>
      <c r="N150" s="118"/>
      <c r="O150" s="118"/>
      <c r="P150" s="118"/>
      <c r="Q150" s="118"/>
      <c r="R150" s="118"/>
      <c r="S150" s="118"/>
      <c r="T150" s="118"/>
      <c r="U150" s="243"/>
      <c r="V150" s="234">
        <v>402</v>
      </c>
      <c r="W150" s="148" t="s">
        <v>770</v>
      </c>
      <c r="X150" s="953">
        <f>SUM(X151)</f>
        <v>0</v>
      </c>
      <c r="Y150" s="954"/>
      <c r="Z150" s="954"/>
      <c r="AA150" s="954"/>
      <c r="AB150" s="118"/>
      <c r="AC150" s="234">
        <v>452</v>
      </c>
      <c r="AD150" s="233" t="s">
        <v>770</v>
      </c>
      <c r="AE150" s="955">
        <f>SUM(AE151:AH151)</f>
        <v>0</v>
      </c>
      <c r="AF150" s="956"/>
      <c r="AG150" s="956"/>
      <c r="AH150" s="956"/>
      <c r="AI150" s="232"/>
    </row>
    <row r="151" spans="1:36" ht="21" hidden="1" customHeight="1" outlineLevel="2" x14ac:dyDescent="0.35">
      <c r="A151" s="988"/>
      <c r="B151" s="989"/>
      <c r="C151" s="997"/>
      <c r="D151" s="43"/>
      <c r="E151" s="43"/>
      <c r="F151" s="43"/>
      <c r="G151" s="43"/>
      <c r="H151" s="43"/>
      <c r="I151" s="43"/>
      <c r="J151" s="43"/>
      <c r="K151" s="43"/>
      <c r="L151" s="43"/>
      <c r="M151" s="43"/>
      <c r="N151" s="43"/>
      <c r="O151" s="43"/>
      <c r="P151" s="43"/>
      <c r="Q151" s="43"/>
      <c r="R151" s="43"/>
      <c r="U151" s="229" t="s">
        <v>194</v>
      </c>
      <c r="V151" s="272" t="s">
        <v>193</v>
      </c>
      <c r="W151" s="74"/>
      <c r="X151" s="953">
        <f>SUMIFS(COMPRAS!BG:BG,COMPRAS!BF:BF,V151,COMPRAS!CS:CS,"=01-REGIMEN GENERAL",COMPRAS!CX:CX,"=SI",COMPRAS!DD:DD,"=SI")+SUMIFS(COMPRAS!BP:BP,COMPRAS!BO:BO,V151,COMPRAS!CS:CS,"=01-REGIMEN GENERAL",COMPRAS!CX:CX,"=SI",COMPRAS!DD:DD,"=SI")+SUMIFS(COMPRAS!BY:BY,COMPRAS!BX:BX,V151,COMPRAS!CS:CS,"=01-REGIMEN GENERAL",COMPRAS!CX:CX,"=SI",COMPRAS!DD:DD,"=SI")</f>
        <v>0</v>
      </c>
      <c r="Y151" s="954"/>
      <c r="Z151" s="954"/>
      <c r="AA151" s="954"/>
      <c r="AB151" s="43"/>
      <c r="AC151" s="111"/>
      <c r="AD151" s="227"/>
      <c r="AE151" s="953">
        <f>SUMIFS(COMPRAS!BI:BI,COMPRAS!BF:BF,V151,COMPRAS!CS:CS,"=01-REGIMEN GENERAL",COMPRAS!CX:CX,"=SI",COMPRAS!DD:DD,"=SI")+SUMIFS(COMPRAS!BR:BR,COMPRAS!BO:BO,V151,COMPRAS!CS:CS,"=01-REGIMEN GENERAL",COMPRAS!CX:CX,"=SI",COMPRAS!DD:DD,"=SI")+SUMIFS(COMPRAS!CA:CA,COMPRAS!BX:BX,V151,COMPRAS!CS:CS,"=01-REGIMEN GENERAL",COMPRAS!CX:CX,"=SI",COMPRAS!DD:DD,"=SI")</f>
        <v>0</v>
      </c>
      <c r="AF151" s="954"/>
      <c r="AG151" s="954"/>
      <c r="AH151" s="954"/>
      <c r="AI151" s="206"/>
    </row>
    <row r="152" spans="1:36" ht="21" customHeight="1" outlineLevel="1" collapsed="1" x14ac:dyDescent="0.35">
      <c r="A152" s="988"/>
      <c r="B152" s="989"/>
      <c r="C152" s="997"/>
      <c r="D152" s="43" t="s">
        <v>948</v>
      </c>
      <c r="E152" s="43"/>
      <c r="F152" s="43"/>
      <c r="G152" s="43"/>
      <c r="H152" s="43"/>
      <c r="I152" s="43"/>
      <c r="J152" s="43"/>
      <c r="K152" s="43"/>
      <c r="L152" s="43"/>
      <c r="M152" s="43"/>
      <c r="N152" s="43"/>
      <c r="O152" s="43"/>
      <c r="P152" s="43"/>
      <c r="Q152" s="43"/>
      <c r="R152" s="43"/>
      <c r="S152" s="37"/>
      <c r="T152" s="37"/>
      <c r="U152" s="242"/>
      <c r="V152" s="54">
        <v>403</v>
      </c>
      <c r="W152" s="53" t="s">
        <v>770</v>
      </c>
      <c r="X152" s="953">
        <f>SUM(X153:AA155)</f>
        <v>0</v>
      </c>
      <c r="Y152" s="954"/>
      <c r="Z152" s="954"/>
      <c r="AA152" s="954"/>
      <c r="AB152" s="15"/>
      <c r="AC152" s="111">
        <v>453</v>
      </c>
      <c r="AD152" s="227" t="s">
        <v>770</v>
      </c>
      <c r="AE152" s="953">
        <f>SUM(AE153:AH155)</f>
        <v>0</v>
      </c>
      <c r="AF152" s="954"/>
      <c r="AG152" s="954"/>
      <c r="AH152" s="954"/>
      <c r="AI152" s="14"/>
    </row>
    <row r="153" spans="1:36" ht="21" hidden="1" customHeight="1" outlineLevel="2" x14ac:dyDescent="0.35">
      <c r="A153" s="988"/>
      <c r="B153" s="989"/>
      <c r="C153" s="997"/>
      <c r="D153" s="43"/>
      <c r="E153" s="43"/>
      <c r="F153" s="43"/>
      <c r="G153" s="43"/>
      <c r="H153" s="43"/>
      <c r="I153" s="43"/>
      <c r="J153" s="43"/>
      <c r="K153" s="43"/>
      <c r="L153" s="43"/>
      <c r="M153" s="43"/>
      <c r="N153" s="43"/>
      <c r="O153" s="43"/>
      <c r="P153" s="43"/>
      <c r="Q153" s="43"/>
      <c r="R153" s="43"/>
      <c r="S153" s="37"/>
      <c r="T153" s="37"/>
      <c r="U153" s="229" t="s">
        <v>188</v>
      </c>
      <c r="V153" s="272" t="s">
        <v>187</v>
      </c>
      <c r="W153" s="225"/>
      <c r="X153" s="953">
        <f>SUMIFS(COMPRAS!BG:BG,COMPRAS!BF:BF,V153,COMPRAS!CS:CS,"=01-REGIMEN GENERAL",COMPRAS!CX:CX,"=SI",COMPRAS!DD:DD,"=SI")+SUMIFS(COMPRAS!BP:BP,COMPRAS!BO:BO,V153,COMPRAS!CS:CS,"=01-REGIMEN GENERAL",COMPRAS!CX:CX,"=SI",COMPRAS!DD:DD,"=SI")+SUMIFS(COMPRAS!BY:BY,COMPRAS!BX:BX,V153,COMPRAS!CS:CS,"=01-REGIMEN GENERAL",COMPRAS!CX:CX,"=SI",COMPRAS!DD:DD,"=SI")</f>
        <v>0</v>
      </c>
      <c r="Y153" s="954"/>
      <c r="Z153" s="954"/>
      <c r="AA153" s="954"/>
      <c r="AB153" s="224"/>
      <c r="AC153" s="52"/>
      <c r="AD153" s="227"/>
      <c r="AE153" s="953">
        <f>SUMIFS(COMPRAS!BI:BI,COMPRAS!BF:BF,V153,COMPRAS!CS:CS,"=01-REGIMEN GENERAL",COMPRAS!CX:CX,"=SI",COMPRAS!DD:DD,"=SI")+SUMIFS(COMPRAS!BR:BR,COMPRAS!BO:BO,V153,COMPRAS!CS:CS,"=01-REGIMEN GENERAL",COMPRAS!CX:CX,"=SI",COMPRAS!DD:DD,"=SI")+SUMIFS(COMPRAS!CA:CA,COMPRAS!BX:BX,V153,COMPRAS!CS:CS,"=01-REGIMEN GENERAL",COMPRAS!CX:CX,"=SI",COMPRAS!DD:DD,"=SI")</f>
        <v>0</v>
      </c>
      <c r="AF153" s="954"/>
      <c r="AG153" s="954"/>
      <c r="AH153" s="954"/>
      <c r="AI153" s="206"/>
    </row>
    <row r="154" spans="1:36" ht="21" hidden="1" customHeight="1" outlineLevel="2" x14ac:dyDescent="0.35">
      <c r="A154" s="988"/>
      <c r="B154" s="989"/>
      <c r="C154" s="997"/>
      <c r="D154" s="43"/>
      <c r="E154" s="43"/>
      <c r="F154" s="43"/>
      <c r="G154" s="43"/>
      <c r="H154" s="43"/>
      <c r="I154" s="43"/>
      <c r="J154" s="43"/>
      <c r="K154" s="43"/>
      <c r="L154" s="43"/>
      <c r="M154" s="43"/>
      <c r="N154" s="43"/>
      <c r="O154" s="43"/>
      <c r="P154" s="43"/>
      <c r="Q154" s="43"/>
      <c r="R154" s="43"/>
      <c r="S154" s="37"/>
      <c r="T154" s="37"/>
      <c r="U154" s="229" t="s">
        <v>190</v>
      </c>
      <c r="V154" s="272" t="s">
        <v>189</v>
      </c>
      <c r="W154" s="225"/>
      <c r="X154" s="953">
        <f>SUMIFS(COMPRAS!BG:BG,COMPRAS!BF:BF,V154,COMPRAS!CS:CS,"=01-REGIMEN GENERAL",COMPRAS!CX:CX,"=SI",COMPRAS!DD:DD,"=SI")+SUMIFS(COMPRAS!BP:BP,COMPRAS!BO:BO,V154,COMPRAS!CS:CS,"=01-REGIMEN GENERAL",COMPRAS!CX:CX,"=SI",COMPRAS!DD:DD,"=SI")+SUMIFS(COMPRAS!BY:BY,COMPRAS!BX:BX,V154,COMPRAS!CS:CS,"=01-REGIMEN GENERAL",COMPRAS!CX:CX,"=SI",COMPRAS!DD:DD,"=SI")</f>
        <v>0</v>
      </c>
      <c r="Y154" s="954"/>
      <c r="Z154" s="954"/>
      <c r="AA154" s="954"/>
      <c r="AB154" s="224"/>
      <c r="AC154" s="52"/>
      <c r="AD154" s="227"/>
      <c r="AE154" s="953">
        <f>SUMIFS(COMPRAS!BI:BI,COMPRAS!BF:BF,V154,COMPRAS!CS:CS,"=01-REGIMEN GENERAL",COMPRAS!CX:CX,"=SI",COMPRAS!DD:DD,"=SI")+SUMIFS(COMPRAS!BR:BR,COMPRAS!BO:BO,V154,COMPRAS!CS:CS,"=01-REGIMEN GENERAL",COMPRAS!CX:CX,"=SI",COMPRAS!DD:DD,"=SI")+SUMIFS(COMPRAS!CA:CA,COMPRAS!BX:BX,V154,COMPRAS!CS:CS,"=01-REGIMEN GENERAL",COMPRAS!CX:CX,"=SI",COMPRAS!DD:DD,"=SI")</f>
        <v>0</v>
      </c>
      <c r="AF154" s="954"/>
      <c r="AG154" s="954"/>
      <c r="AH154" s="954"/>
      <c r="AI154" s="206"/>
    </row>
    <row r="155" spans="1:36" ht="21" hidden="1" customHeight="1" outlineLevel="2" x14ac:dyDescent="0.35">
      <c r="A155" s="988"/>
      <c r="B155" s="989"/>
      <c r="C155" s="997"/>
      <c r="D155" s="43"/>
      <c r="E155" s="43"/>
      <c r="F155" s="43"/>
      <c r="G155" s="43"/>
      <c r="H155" s="43"/>
      <c r="I155" s="43"/>
      <c r="J155" s="43"/>
      <c r="K155" s="43"/>
      <c r="L155" s="43"/>
      <c r="M155" s="43"/>
      <c r="N155" s="43"/>
      <c r="O155" s="43"/>
      <c r="P155" s="43"/>
      <c r="Q155" s="43"/>
      <c r="R155" s="43"/>
      <c r="S155" s="37"/>
      <c r="T155" s="37"/>
      <c r="U155" s="229" t="s">
        <v>192</v>
      </c>
      <c r="V155" s="272" t="s">
        <v>191</v>
      </c>
      <c r="W155" s="225"/>
      <c r="X155" s="953">
        <f>SUMIFS(COMPRAS!BG:BG,COMPRAS!BF:BF,V155,COMPRAS!CS:CS,"=01-REGIMEN GENERAL",COMPRAS!CX:CX,"=SI",COMPRAS!DD:DD,"=SI")+SUMIFS(COMPRAS!BP:BP,COMPRAS!BO:BO,V155,COMPRAS!CS:CS,"=01-REGIMEN GENERAL",COMPRAS!CX:CX,"=SI",COMPRAS!DD:DD,"=SI")+SUMIFS(COMPRAS!BY:BY,COMPRAS!BX:BX,V155,COMPRAS!CS:CS,"=01-REGIMEN GENERAL",COMPRAS!CX:CX,"=SI",COMPRAS!DD:DD,"=SI")</f>
        <v>0</v>
      </c>
      <c r="Y155" s="954"/>
      <c r="Z155" s="954"/>
      <c r="AA155" s="954"/>
      <c r="AB155" s="224"/>
      <c r="AC155" s="54"/>
      <c r="AD155" s="227"/>
      <c r="AE155" s="953">
        <f>SUMIFS(COMPRAS!BI:BI,COMPRAS!BF:BF,V155,COMPRAS!CS:CS,"=01-REGIMEN GENERAL",COMPRAS!CX:CX,"=SI",COMPRAS!DD:DD,"=SI")+SUMIFS(COMPRAS!BR:BR,COMPRAS!BO:BO,V155,COMPRAS!CS:CS,"=01-REGIMEN GENERAL",COMPRAS!CX:CX,"=SI",COMPRAS!DD:DD,"=SI")+SUMIFS(COMPRAS!CA:CA,COMPRAS!BX:BX,V155,COMPRAS!CS:CS,"=01-REGIMEN GENERAL",COMPRAS!CX:CX,"=SI",COMPRAS!DD:DD,"=SI")</f>
        <v>0</v>
      </c>
      <c r="AF155" s="954"/>
      <c r="AG155" s="954"/>
      <c r="AH155" s="954"/>
      <c r="AI155" s="206"/>
    </row>
    <row r="156" spans="1:36" ht="21" customHeight="1" outlineLevel="1" collapsed="1" x14ac:dyDescent="0.35">
      <c r="A156" s="988"/>
      <c r="B156" s="989"/>
      <c r="C156" s="997"/>
      <c r="D156" s="43" t="s">
        <v>945</v>
      </c>
      <c r="E156" s="43"/>
      <c r="F156" s="43"/>
      <c r="G156" s="43"/>
      <c r="H156" s="43"/>
      <c r="I156" s="43"/>
      <c r="J156" s="43"/>
      <c r="K156" s="43"/>
      <c r="L156" s="43"/>
      <c r="M156" s="43"/>
      <c r="N156" s="43"/>
      <c r="O156" s="43"/>
      <c r="P156" s="43"/>
      <c r="Q156" s="43"/>
      <c r="R156" s="43"/>
      <c r="S156" s="37"/>
      <c r="T156" s="37"/>
      <c r="U156" s="242"/>
      <c r="V156" s="54">
        <v>404</v>
      </c>
      <c r="W156" s="53" t="s">
        <v>770</v>
      </c>
      <c r="X156" s="953">
        <f>SUM(X157:AA159)</f>
        <v>0</v>
      </c>
      <c r="Y156" s="954"/>
      <c r="Z156" s="954"/>
      <c r="AA156" s="954"/>
      <c r="AB156" s="15"/>
      <c r="AC156" s="111">
        <v>454</v>
      </c>
      <c r="AD156" s="227" t="s">
        <v>770</v>
      </c>
      <c r="AE156" s="953">
        <f>SUM(AE157:AH159)</f>
        <v>0</v>
      </c>
      <c r="AF156" s="954"/>
      <c r="AG156" s="954"/>
      <c r="AH156" s="954"/>
      <c r="AI156" s="14"/>
    </row>
    <row r="157" spans="1:36" ht="21" hidden="1" customHeight="1" outlineLevel="2" x14ac:dyDescent="0.35">
      <c r="A157" s="988"/>
      <c r="B157" s="989"/>
      <c r="C157" s="997"/>
      <c r="D157" s="15"/>
      <c r="E157" s="15"/>
      <c r="F157" s="15"/>
      <c r="G157" s="15"/>
      <c r="H157" s="15"/>
      <c r="I157" s="15"/>
      <c r="J157" s="15"/>
      <c r="K157" s="15"/>
      <c r="L157" s="15"/>
      <c r="M157" s="15"/>
      <c r="N157" s="15"/>
      <c r="O157" s="15"/>
      <c r="P157" s="15"/>
      <c r="Q157" s="15"/>
      <c r="R157" s="15"/>
      <c r="S157" s="15"/>
      <c r="T157" s="15"/>
      <c r="U157" s="229" t="s">
        <v>1082</v>
      </c>
      <c r="V157" s="272" t="s">
        <v>182</v>
      </c>
      <c r="W157" s="225" t="s">
        <v>770</v>
      </c>
      <c r="X157" s="953">
        <f>SUMIFS(COMPRAS!BG:BG,COMPRAS!BF:BF,V157,COMPRAS!CS:CS,"=01-REGIMEN GENERAL",COMPRAS!CX:CX,"=SI",COMPRAS!DD:DD,"=SI")+SUMIFS(COMPRAS!BP:BP,COMPRAS!BO:BO,V157,COMPRAS!CS:CS,"=01-REGIMEN GENERAL",COMPRAS!CX:CX,"=SI",COMPRAS!DD:DD,"=SI")+SUMIFS(COMPRAS!BY:BY,COMPRAS!BX:BX,V157,COMPRAS!CS:CS,"=01-REGIMEN GENERAL",COMPRAS!CX:CX,"=SI",COMPRAS!DD:DD,"=SI")</f>
        <v>0</v>
      </c>
      <c r="Y157" s="954"/>
      <c r="Z157" s="954"/>
      <c r="AA157" s="954"/>
      <c r="AB157" s="224"/>
      <c r="AC157" s="54"/>
      <c r="AD157" s="227" t="s">
        <v>770</v>
      </c>
      <c r="AE157" s="953">
        <f>SUMIFS(COMPRAS!BI:BI,COMPRAS!BF:BF,V157,COMPRAS!CS:CS,"=01-REGIMEN GENERAL",COMPRAS!CX:CX,"=SI",COMPRAS!DD:DD,"=SI")+SUMIFS(COMPRAS!BR:BR,COMPRAS!BO:BO,V157,COMPRAS!CS:CS,"=01-REGIMEN GENERAL",COMPRAS!CX:CX,"=SI",COMPRAS!DD:DD,"=SI")+SUMIFS(COMPRAS!CA:CA,COMPRAS!BX:BX,V157,COMPRAS!CS:CS,"=01-REGIMEN GENERAL",COMPRAS!CX:CX,"=SI",COMPRAS!DD:DD,"=SI")</f>
        <v>0</v>
      </c>
      <c r="AF157" s="954"/>
      <c r="AG157" s="954"/>
      <c r="AH157" s="954"/>
      <c r="AI157" s="206"/>
    </row>
    <row r="158" spans="1:36" ht="21" hidden="1" customHeight="1" outlineLevel="2" x14ac:dyDescent="0.35">
      <c r="A158" s="988"/>
      <c r="B158" s="989"/>
      <c r="C158" s="997"/>
      <c r="D158" s="15"/>
      <c r="E158" s="15"/>
      <c r="F158" s="15"/>
      <c r="G158" s="15"/>
      <c r="H158" s="15"/>
      <c r="I158" s="15"/>
      <c r="J158" s="15"/>
      <c r="K158" s="15"/>
      <c r="L158" s="15"/>
      <c r="M158" s="15"/>
      <c r="N158" s="15"/>
      <c r="O158" s="15"/>
      <c r="P158" s="15"/>
      <c r="Q158" s="15"/>
      <c r="R158" s="15"/>
      <c r="S158" s="15"/>
      <c r="T158" s="15"/>
      <c r="U158" s="229" t="s">
        <v>1084</v>
      </c>
      <c r="V158" s="272" t="s">
        <v>184</v>
      </c>
      <c r="W158" s="225" t="s">
        <v>770</v>
      </c>
      <c r="X158" s="953">
        <f>SUMIFS(COMPRAS!BG:BG,COMPRAS!BF:BF,V158,COMPRAS!CS:CS,"=01-REGIMEN GENERAL",COMPRAS!CX:CX,"=SI",COMPRAS!DD:DD,"=SI")+SUMIFS(COMPRAS!BP:BP,COMPRAS!BO:BO,V158,COMPRAS!CS:CS,"=01-REGIMEN GENERAL",COMPRAS!CX:CX,"=SI",COMPRAS!DD:DD,"=SI")+SUMIFS(COMPRAS!BY:BY,COMPRAS!BX:BX,V158,COMPRAS!CS:CS,"=01-REGIMEN GENERAL",COMPRAS!CX:CX,"=SI",COMPRAS!DD:DD,"=SI")</f>
        <v>0</v>
      </c>
      <c r="Y158" s="954"/>
      <c r="Z158" s="954"/>
      <c r="AA158" s="954"/>
      <c r="AB158" s="224"/>
      <c r="AC158" s="54"/>
      <c r="AD158" s="227" t="s">
        <v>770</v>
      </c>
      <c r="AE158" s="953">
        <f>SUMIFS(COMPRAS!BI:BI,COMPRAS!BF:BF,V158,COMPRAS!CS:CS,"=01-REGIMEN GENERAL",COMPRAS!CX:CX,"=SI",COMPRAS!DD:DD,"=SI")+SUMIFS(COMPRAS!BR:BR,COMPRAS!BO:BO,V158,COMPRAS!CS:CS,"=01-REGIMEN GENERAL",COMPRAS!CX:CX,"=SI",COMPRAS!DD:DD,"=SI")+SUMIFS(COMPRAS!CA:CA,COMPRAS!BX:BX,V158,COMPRAS!CS:CS,"=01-REGIMEN GENERAL",COMPRAS!CX:CX,"=SI",COMPRAS!DD:DD,"=SI")</f>
        <v>0</v>
      </c>
      <c r="AF158" s="954"/>
      <c r="AG158" s="954"/>
      <c r="AH158" s="954"/>
      <c r="AI158" s="206"/>
    </row>
    <row r="159" spans="1:36" ht="21" hidden="1" customHeight="1" outlineLevel="2" x14ac:dyDescent="0.35">
      <c r="A159" s="988"/>
      <c r="B159" s="989"/>
      <c r="C159" s="997"/>
      <c r="D159" s="15"/>
      <c r="E159" s="15"/>
      <c r="F159" s="15"/>
      <c r="G159" s="15"/>
      <c r="H159" s="15"/>
      <c r="I159" s="15"/>
      <c r="J159" s="15"/>
      <c r="K159" s="15"/>
      <c r="L159" s="15"/>
      <c r="M159" s="15"/>
      <c r="N159" s="15"/>
      <c r="O159" s="15"/>
      <c r="P159" s="15"/>
      <c r="Q159" s="15"/>
      <c r="R159" s="15"/>
      <c r="S159" s="15"/>
      <c r="T159" s="15"/>
      <c r="U159" s="229" t="s">
        <v>1067</v>
      </c>
      <c r="V159" s="272" t="s">
        <v>1066</v>
      </c>
      <c r="W159" s="225" t="s">
        <v>770</v>
      </c>
      <c r="X159" s="953">
        <f>SUMIFS(COMPRAS!BG:BG,COMPRAS!BF:BF,V159,COMPRAS!CS:CS,"=01-REGIMEN GENERAL",COMPRAS!CX:CX,"=SI",COMPRAS!DD:DD,"=SI")+SUMIFS(COMPRAS!BP:BP,COMPRAS!BO:BO,V159,COMPRAS!CS:CS,"=01-REGIMEN GENERAL",COMPRAS!CX:CX,"=SI",COMPRAS!DD:DD,"=SI")+SUMIFS(COMPRAS!BY:BY,COMPRAS!BX:BX,V159,COMPRAS!CS:CS,"=01-REGIMEN GENERAL",COMPRAS!CX:CX,"=SI",COMPRAS!DD:DD,"=SI")</f>
        <v>0</v>
      </c>
      <c r="Y159" s="954"/>
      <c r="Z159" s="954"/>
      <c r="AA159" s="954"/>
      <c r="AB159" s="224"/>
      <c r="AC159" s="54"/>
      <c r="AD159" s="227" t="s">
        <v>770</v>
      </c>
      <c r="AE159" s="953">
        <f>SUMIFS(COMPRAS!BI:BI,COMPRAS!BF:BF,V159,COMPRAS!CS:CS,"=01-REGIMEN GENERAL",COMPRAS!CX:CX,"=SI",COMPRAS!DD:DD,"=SI")+SUMIFS(COMPRAS!BR:BR,COMPRAS!BO:BO,V159,COMPRAS!CS:CS,"=01-REGIMEN GENERAL",COMPRAS!CX:CX,"=SI",COMPRAS!DD:DD,"=SI")+SUMIFS(COMPRAS!CA:CA,COMPRAS!BX:BX,V159,COMPRAS!CS:CS,"=01-REGIMEN GENERAL",COMPRAS!CX:CX,"=SI",COMPRAS!DD:DD,"=SI")</f>
        <v>0</v>
      </c>
      <c r="AF159" s="954"/>
      <c r="AG159" s="954"/>
      <c r="AH159" s="954"/>
      <c r="AI159" s="206"/>
    </row>
    <row r="160" spans="1:36" ht="21" customHeight="1" outlineLevel="1" collapsed="1" x14ac:dyDescent="0.35">
      <c r="A160" s="988"/>
      <c r="B160" s="989"/>
      <c r="C160" s="997"/>
      <c r="D160" s="15" t="s">
        <v>944</v>
      </c>
      <c r="E160" s="15"/>
      <c r="F160" s="15"/>
      <c r="G160" s="15"/>
      <c r="H160" s="15"/>
      <c r="I160" s="15"/>
      <c r="J160" s="15"/>
      <c r="K160" s="15"/>
      <c r="L160" s="15"/>
      <c r="M160" s="15"/>
      <c r="N160" s="15"/>
      <c r="O160" s="15"/>
      <c r="P160" s="15"/>
      <c r="Q160" s="15"/>
      <c r="R160" s="15"/>
      <c r="S160" s="15"/>
      <c r="T160" s="15"/>
      <c r="U160" s="130"/>
      <c r="V160" s="226">
        <v>405</v>
      </c>
      <c r="W160" s="225" t="s">
        <v>770</v>
      </c>
      <c r="X160" s="953">
        <f>SUM(X161)</f>
        <v>0</v>
      </c>
      <c r="Y160" s="954"/>
      <c r="Z160" s="954"/>
      <c r="AA160" s="954"/>
      <c r="AB160" s="224"/>
      <c r="AC160" s="1075"/>
      <c r="AD160" s="1075"/>
      <c r="AE160" s="1075"/>
      <c r="AF160" s="1075"/>
      <c r="AG160" s="1075"/>
      <c r="AH160" s="1075"/>
      <c r="AI160" s="1076"/>
    </row>
    <row r="161" spans="1:35" ht="21" hidden="1" customHeight="1" outlineLevel="2" x14ac:dyDescent="0.35">
      <c r="A161" s="988"/>
      <c r="B161" s="989"/>
      <c r="C161" s="997"/>
      <c r="D161" s="15"/>
      <c r="E161" s="15"/>
      <c r="F161" s="15"/>
      <c r="G161" s="15"/>
      <c r="H161" s="15"/>
      <c r="I161" s="15"/>
      <c r="J161" s="15"/>
      <c r="K161" s="15"/>
      <c r="L161" s="15"/>
      <c r="M161" s="15"/>
      <c r="N161" s="15"/>
      <c r="O161" s="15"/>
      <c r="P161" s="15"/>
      <c r="Q161" s="15"/>
      <c r="R161" s="15"/>
      <c r="S161" s="15"/>
      <c r="T161" s="15"/>
      <c r="U161" s="229" t="s">
        <v>176</v>
      </c>
      <c r="V161" s="228">
        <v>504</v>
      </c>
      <c r="W161" s="225"/>
      <c r="X161" s="953">
        <f>SUMIFS(COMPRAS!BG:BG,COMPRAS!BF:BF,V161,COMPRAS!CS:CS,"=01-REGIMEN GENERAL",COMPRAS!CX:CX,"=SI",COMPRAS!DD:DD,"=SI")+SUMIFS(COMPRAS!BP:BP,COMPRAS!BO:BO,V161,COMPRAS!CS:CS,"=01-REGIMEN GENERAL",COMPRAS!CX:CX,"=SI",COMPRAS!DD:DD,"=SI")+SUMIFS(COMPRAS!BY:BY,COMPRAS!BX:BX,V161,COMPRAS!CS:CS,"=01-REGIMEN GENERAL",COMPRAS!CX:CX,"=SI",COMPRAS!DD:DD,"=SI")</f>
        <v>0</v>
      </c>
      <c r="Y161" s="954"/>
      <c r="Z161" s="954"/>
      <c r="AA161" s="954"/>
      <c r="AB161" s="224"/>
      <c r="AC161" s="1072"/>
      <c r="AD161" s="1073"/>
      <c r="AE161" s="1073"/>
      <c r="AF161" s="1073"/>
      <c r="AG161" s="1073"/>
      <c r="AH161" s="1073"/>
      <c r="AI161" s="1074"/>
    </row>
    <row r="162" spans="1:35" ht="21" customHeight="1" outlineLevel="1" collapsed="1" x14ac:dyDescent="0.35">
      <c r="A162" s="988"/>
      <c r="B162" s="989"/>
      <c r="C162" s="997"/>
      <c r="D162" s="15" t="s">
        <v>943</v>
      </c>
      <c r="E162" s="15"/>
      <c r="F162" s="15"/>
      <c r="G162" s="15"/>
      <c r="H162" s="15"/>
      <c r="I162" s="15"/>
      <c r="J162" s="15"/>
      <c r="K162" s="15"/>
      <c r="L162" s="15"/>
      <c r="M162" s="15"/>
      <c r="N162" s="15"/>
      <c r="O162" s="15"/>
      <c r="P162" s="15"/>
      <c r="Q162" s="15"/>
      <c r="R162" s="15"/>
      <c r="S162" s="15"/>
      <c r="T162" s="15"/>
      <c r="U162" s="130"/>
      <c r="V162" s="226">
        <v>406</v>
      </c>
      <c r="W162" s="225" t="s">
        <v>770</v>
      </c>
      <c r="X162" s="953">
        <f>SUM(X163:AA163)</f>
        <v>0</v>
      </c>
      <c r="Y162" s="954"/>
      <c r="Z162" s="954"/>
      <c r="AA162" s="954"/>
      <c r="AB162" s="224"/>
      <c r="AC162" s="111">
        <v>456</v>
      </c>
      <c r="AD162" s="227" t="s">
        <v>770</v>
      </c>
      <c r="AE162" s="955">
        <f>SUM(AE163:AH163)</f>
        <v>0</v>
      </c>
      <c r="AF162" s="956"/>
      <c r="AG162" s="956"/>
      <c r="AH162" s="956"/>
      <c r="AI162" s="206"/>
    </row>
    <row r="163" spans="1:35" ht="21" hidden="1" customHeight="1" outlineLevel="2" x14ac:dyDescent="0.35">
      <c r="A163" s="988"/>
      <c r="B163" s="989"/>
      <c r="C163" s="997"/>
      <c r="D163" s="15"/>
      <c r="E163" s="15"/>
      <c r="F163" s="15"/>
      <c r="G163" s="15"/>
      <c r="H163" s="15"/>
      <c r="I163" s="15"/>
      <c r="J163" s="15"/>
      <c r="K163" s="15"/>
      <c r="L163" s="15"/>
      <c r="M163" s="15"/>
      <c r="N163" s="15"/>
      <c r="O163" s="15"/>
      <c r="P163" s="15"/>
      <c r="Q163" s="15"/>
      <c r="R163" s="15"/>
      <c r="S163" s="15"/>
      <c r="T163" s="15"/>
      <c r="U163" s="229" t="s">
        <v>178</v>
      </c>
      <c r="V163" s="228" t="s">
        <v>177</v>
      </c>
      <c r="W163" s="225"/>
      <c r="X163" s="953">
        <f>SUMIFS(COMPRAS!BG:BG,COMPRAS!BF:BF,V163,COMPRAS!CS:CS,"=01-REGIMEN GENERAL",COMPRAS!CX:CX,"=SI",COMPRAS!DD:DD,"=SI")+SUMIFS(COMPRAS!BP:BP,COMPRAS!BO:BO,V163,COMPRAS!CS:CS,"=01-REGIMEN GENERAL",COMPRAS!CX:CX,"=SI",COMPRAS!DD:DD,"=SI")+SUMIFS(COMPRAS!BY:BY,COMPRAS!BX:BX,V163,COMPRAS!CS:CS,"=01-REGIMEN GENERAL",COMPRAS!CX:CX,"=SI",COMPRAS!DD:DD,"=SI")</f>
        <v>0</v>
      </c>
      <c r="Y163" s="954"/>
      <c r="Z163" s="954"/>
      <c r="AA163" s="954"/>
      <c r="AB163" s="224"/>
      <c r="AC163" s="52"/>
      <c r="AD163" s="227"/>
      <c r="AE163" s="953">
        <f>SUMIFS(COMPRAS!BI:BI,COMPRAS!BF:BF,V163,COMPRAS!CS:CS,"=01-REGIMEN GENERAL",COMPRAS!CX:CX,"=SI",COMPRAS!DD:DD,"=SI")+SUMIFS(COMPRAS!BR:BR,COMPRAS!BO:BO,V163,COMPRAS!CS:CS,"=01-REGIMEN GENERAL",COMPRAS!CX:CX,"=SI",COMPRAS!DD:DD,"=SI")+SUMIFS(COMPRAS!CA:CA,COMPRAS!BX:BX,V163,COMPRAS!CS:CS,"=01-REGIMEN GENERAL",COMPRAS!CX:CX,"=SI",COMPRAS!DD:DD,"=SI")</f>
        <v>0</v>
      </c>
      <c r="AF163" s="954"/>
      <c r="AG163" s="954"/>
      <c r="AH163" s="954"/>
      <c r="AI163" s="206"/>
    </row>
    <row r="164" spans="1:35" ht="21" customHeight="1" outlineLevel="1" collapsed="1" x14ac:dyDescent="0.35">
      <c r="A164" s="988"/>
      <c r="B164" s="989"/>
      <c r="C164" s="997"/>
      <c r="D164" s="15" t="s">
        <v>942</v>
      </c>
      <c r="E164" s="15"/>
      <c r="F164" s="15"/>
      <c r="G164" s="15"/>
      <c r="H164" s="15"/>
      <c r="I164" s="15"/>
      <c r="J164" s="15"/>
      <c r="K164" s="15"/>
      <c r="L164" s="15"/>
      <c r="M164" s="15"/>
      <c r="N164" s="15"/>
      <c r="O164" s="15"/>
      <c r="P164" s="15"/>
      <c r="Q164" s="15"/>
      <c r="R164" s="15"/>
      <c r="S164" s="15"/>
      <c r="T164" s="15"/>
      <c r="U164" s="130"/>
      <c r="V164" s="226">
        <v>407</v>
      </c>
      <c r="W164" s="225" t="s">
        <v>770</v>
      </c>
      <c r="X164" s="953">
        <f>SUM(X165:AA165)</f>
        <v>0</v>
      </c>
      <c r="Y164" s="954"/>
      <c r="Z164" s="954"/>
      <c r="AA164" s="954"/>
      <c r="AB164" s="224"/>
      <c r="AC164" s="54">
        <v>457</v>
      </c>
      <c r="AD164" s="227" t="s">
        <v>770</v>
      </c>
      <c r="AE164" s="953">
        <f>SUM(AE165:AH165)</f>
        <v>0</v>
      </c>
      <c r="AF164" s="954"/>
      <c r="AG164" s="954"/>
      <c r="AH164" s="954"/>
      <c r="AI164" s="206"/>
    </row>
    <row r="165" spans="1:35" ht="21" hidden="1" customHeight="1" outlineLevel="2" x14ac:dyDescent="0.35">
      <c r="A165" s="988"/>
      <c r="B165" s="989"/>
      <c r="C165" s="997"/>
      <c r="D165" s="15"/>
      <c r="E165" s="15"/>
      <c r="F165" s="15"/>
      <c r="G165" s="15"/>
      <c r="H165" s="15"/>
      <c r="I165" s="15"/>
      <c r="J165" s="15"/>
      <c r="K165" s="15"/>
      <c r="L165" s="15"/>
      <c r="M165" s="15"/>
      <c r="N165" s="15"/>
      <c r="O165" s="15"/>
      <c r="P165" s="15"/>
      <c r="Q165" s="15"/>
      <c r="R165" s="15"/>
      <c r="S165" s="15"/>
      <c r="T165" s="15"/>
      <c r="U165" s="229" t="s">
        <v>1079</v>
      </c>
      <c r="V165" s="228" t="s">
        <v>179</v>
      </c>
      <c r="W165" s="225"/>
      <c r="X165" s="953">
        <f>SUMIFS(COMPRAS!BG:BG,COMPRAS!BF:BF,V165,COMPRAS!CS:CS,"=01-REGIMEN GENERAL",COMPRAS!CX:CX,"=SI",COMPRAS!DD:DD,"=SI")+SUMIFS(COMPRAS!BP:BP,COMPRAS!BO:BO,V165,COMPRAS!CS:CS,"=01-REGIMEN GENERAL",COMPRAS!CX:CX,"=SI",COMPRAS!DD:DD,"=SI")+SUMIFS(COMPRAS!BY:BY,COMPRAS!BX:BX,V165,COMPRAS!CS:CS,"=01-REGIMEN GENERAL",COMPRAS!CX:CX,"=SI",COMPRAS!DD:DD,"=SI")</f>
        <v>0</v>
      </c>
      <c r="Y165" s="954"/>
      <c r="Z165" s="954"/>
      <c r="AA165" s="954"/>
      <c r="AB165" s="224"/>
      <c r="AC165" s="52"/>
      <c r="AD165" s="227"/>
      <c r="AE165" s="953">
        <f>SUMIFS(COMPRAS!BI:BI,COMPRAS!BF:BF,V165,COMPRAS!CS:CS,"=01-REGIMEN GENERAL",COMPRAS!CX:CX,"=SI",COMPRAS!DD:DD,"=SI")+SUMIFS(COMPRAS!BR:BR,COMPRAS!BO:BO,V165,COMPRAS!CS:CS,"=01-REGIMEN GENERAL",COMPRAS!CX:CX,"=SI",COMPRAS!DD:DD,"=SI")+SUMIFS(COMPRAS!CA:CA,COMPRAS!BX:BX,V165,COMPRAS!CS:CS,"=01-REGIMEN GENERAL",COMPRAS!CX:CX,"=SI",COMPRAS!DD:DD,"=SI")</f>
        <v>0</v>
      </c>
      <c r="AF165" s="954"/>
      <c r="AG165" s="954"/>
      <c r="AH165" s="954"/>
      <c r="AI165" s="206"/>
    </row>
    <row r="166" spans="1:35" ht="21" customHeight="1" outlineLevel="1" collapsed="1" x14ac:dyDescent="0.35">
      <c r="A166" s="988"/>
      <c r="B166" s="989"/>
      <c r="C166" s="997"/>
      <c r="D166" s="15" t="s">
        <v>1166</v>
      </c>
      <c r="E166" s="15"/>
      <c r="F166" s="15"/>
      <c r="G166" s="15"/>
      <c r="H166" s="15"/>
      <c r="I166" s="15"/>
      <c r="J166" s="15"/>
      <c r="K166" s="15"/>
      <c r="L166" s="15"/>
      <c r="M166" s="15"/>
      <c r="N166" s="15"/>
      <c r="O166" s="15"/>
      <c r="P166" s="15"/>
      <c r="Q166" s="15"/>
      <c r="R166" s="15"/>
      <c r="S166" s="15"/>
      <c r="T166" s="15"/>
      <c r="U166" s="130"/>
      <c r="V166" s="226">
        <v>4050</v>
      </c>
      <c r="W166" s="225" t="s">
        <v>770</v>
      </c>
      <c r="X166" s="953">
        <f>SUM(X167)</f>
        <v>0</v>
      </c>
      <c r="Y166" s="954"/>
      <c r="Z166" s="954"/>
      <c r="AA166" s="954"/>
      <c r="AB166" s="224"/>
      <c r="AC166" s="54">
        <v>4550</v>
      </c>
      <c r="AD166" s="227" t="s">
        <v>770</v>
      </c>
      <c r="AE166" s="953">
        <f>SUM(AE167:AH167)</f>
        <v>0</v>
      </c>
      <c r="AF166" s="954"/>
      <c r="AG166" s="954"/>
      <c r="AH166" s="954"/>
      <c r="AI166" s="206"/>
    </row>
    <row r="167" spans="1:35" ht="21" hidden="1" customHeight="1" outlineLevel="2" x14ac:dyDescent="0.35">
      <c r="A167" s="988"/>
      <c r="B167" s="989"/>
      <c r="C167" s="997"/>
      <c r="D167" s="15"/>
      <c r="E167" s="15"/>
      <c r="F167" s="15"/>
      <c r="G167" s="15"/>
      <c r="H167" s="15"/>
      <c r="I167" s="15"/>
      <c r="J167" s="15"/>
      <c r="K167" s="15"/>
      <c r="L167" s="15"/>
      <c r="M167" s="15"/>
      <c r="N167" s="15"/>
      <c r="O167" s="15"/>
      <c r="P167" s="15"/>
      <c r="Q167" s="15"/>
      <c r="R167" s="15"/>
      <c r="S167" s="15"/>
      <c r="T167" s="15"/>
      <c r="U167" s="229" t="s">
        <v>1078</v>
      </c>
      <c r="V167" s="228">
        <v>504</v>
      </c>
      <c r="W167" s="225"/>
      <c r="X167" s="953">
        <f>SUMIFS(COMPRAS!BG:BG,COMPRAS!BF:BF,V167,COMPRAS!CS:CS,"=01-REGIMEN GENERAL",COMPRAS!CX:CX,"=SI",COMPRAS!DD:DD,"=SI")+SUMIFS(COMPRAS!BP:BP,COMPRAS!BO:BO,V167,COMPRAS!CS:CS,"=01-REGIMEN GENERAL",COMPRAS!CX:CX,"=SI",COMPRAS!DD:DD,"=SI")+SUMIFS(COMPRAS!BY:BY,COMPRAS!BX:BX,V167,COMPRAS!CS:CS,"=01-REGIMEN GENERAL",COMPRAS!CX:CX,"=SI",COMPRAS!DD:DD,"=SI")</f>
        <v>0</v>
      </c>
      <c r="Y167" s="954"/>
      <c r="Z167" s="954"/>
      <c r="AA167" s="954"/>
      <c r="AB167" s="224"/>
      <c r="AC167" s="52"/>
      <c r="AD167" s="227"/>
      <c r="AE167" s="953">
        <f>SUMIFS(COMPRAS!BI:BI,COMPRAS!BF:BF,V167,COMPRAS!CS:CS,"=01-REGIMEN GENERAL",COMPRAS!CX:CX,"=SI",COMPRAS!DD:DD,"=SI")+SUMIFS(COMPRAS!BR:BR,COMPRAS!BO:BO,V167,COMPRAS!CS:CS,"=01-REGIMEN GENERAL",COMPRAS!CX:CX,"=SI",COMPRAS!DD:DD,"=SI")+SUMIFS(COMPRAS!CA:CA,COMPRAS!BX:BX,V167,COMPRAS!CS:CS,"=01-REGIMEN GENERAL",COMPRAS!CX:CX,"=SI",COMPRAS!DD:DD,"=SI")</f>
        <v>0</v>
      </c>
      <c r="AF167" s="954"/>
      <c r="AG167" s="954"/>
      <c r="AH167" s="954"/>
      <c r="AI167" s="206"/>
    </row>
    <row r="168" spans="1:35" ht="21" customHeight="1" outlineLevel="1" collapsed="1" x14ac:dyDescent="0.35">
      <c r="A168" s="988"/>
      <c r="B168" s="989"/>
      <c r="C168" s="997"/>
      <c r="D168" s="15" t="s">
        <v>1167</v>
      </c>
      <c r="E168" s="15"/>
      <c r="F168" s="15"/>
      <c r="G168" s="15"/>
      <c r="H168" s="15"/>
      <c r="I168" s="15"/>
      <c r="J168" s="15"/>
      <c r="K168" s="15"/>
      <c r="L168" s="15"/>
      <c r="M168" s="15"/>
      <c r="N168" s="15"/>
      <c r="O168" s="15"/>
      <c r="P168" s="15"/>
      <c r="Q168" s="15"/>
      <c r="R168" s="15"/>
      <c r="S168" s="15"/>
      <c r="T168" s="15"/>
      <c r="U168" s="130"/>
      <c r="V168" s="226">
        <v>4060</v>
      </c>
      <c r="W168" s="225" t="s">
        <v>770</v>
      </c>
      <c r="X168" s="953">
        <f>SUM(X169)</f>
        <v>0</v>
      </c>
      <c r="Y168" s="954"/>
      <c r="Z168" s="954"/>
      <c r="AA168" s="954"/>
      <c r="AB168" s="224"/>
      <c r="AC168" s="54">
        <v>4560</v>
      </c>
      <c r="AD168" s="227" t="s">
        <v>770</v>
      </c>
      <c r="AE168" s="953">
        <f>SUM(AE169:AH169)</f>
        <v>0</v>
      </c>
      <c r="AF168" s="954"/>
      <c r="AG168" s="954"/>
      <c r="AH168" s="954"/>
      <c r="AI168" s="206"/>
    </row>
    <row r="169" spans="1:35" ht="21" hidden="1" customHeight="1" outlineLevel="2" x14ac:dyDescent="0.35">
      <c r="A169" s="988"/>
      <c r="B169" s="989"/>
      <c r="C169" s="997"/>
      <c r="D169" s="15"/>
      <c r="E169" s="15"/>
      <c r="F169" s="15"/>
      <c r="G169" s="15"/>
      <c r="H169" s="15"/>
      <c r="I169" s="15"/>
      <c r="J169" s="15"/>
      <c r="K169" s="15"/>
      <c r="L169" s="15"/>
      <c r="M169" s="15"/>
      <c r="N169" s="15"/>
      <c r="O169" s="15"/>
      <c r="P169" s="15"/>
      <c r="Q169" s="15"/>
      <c r="R169" s="15"/>
      <c r="S169" s="15"/>
      <c r="T169" s="15"/>
      <c r="U169" s="229" t="s">
        <v>1171</v>
      </c>
      <c r="V169" s="228" t="s">
        <v>177</v>
      </c>
      <c r="W169" s="225"/>
      <c r="X169" s="953">
        <f>SUMIFS(COMPRAS!BG:BG,COMPRAS!BF:BF,V169,COMPRAS!CS:CS,"=01-REGIMEN GENERAL",COMPRAS!CX:CX,"=SI",COMPRAS!DD:DD,"=SI")+SUMIFS(COMPRAS!BP:BP,COMPRAS!BO:BO,V169,COMPRAS!CS:CS,"=01-REGIMEN GENERAL",COMPRAS!CX:CX,"=SI",COMPRAS!DD:DD,"=SI")+SUMIFS(COMPRAS!BY:BY,COMPRAS!BX:BX,V169,COMPRAS!CS:CS,"=01-REGIMEN GENERAL",COMPRAS!CX:CX,"=SI",COMPRAS!DD:DD,"=SI")</f>
        <v>0</v>
      </c>
      <c r="Y169" s="954"/>
      <c r="Z169" s="954"/>
      <c r="AA169" s="954"/>
      <c r="AB169" s="224"/>
      <c r="AC169" s="52"/>
      <c r="AD169" s="227"/>
      <c r="AE169" s="953">
        <f>SUMIFS(COMPRAS!BI:BI,COMPRAS!BF:BF,V169,COMPRAS!CS:CS,"=01-REGIMEN GENERAL",COMPRAS!CX:CX,"=SI",COMPRAS!DD:DD,"=SI")+SUMIFS(COMPRAS!BR:BR,COMPRAS!BO:BO,V169,COMPRAS!CS:CS,"=01-REGIMEN GENERAL",COMPRAS!CX:CX,"=SI",COMPRAS!DD:DD,"=SI")+SUMIFS(COMPRAS!CA:CA,COMPRAS!BX:BX,V169,COMPRAS!CS:CS,"=01-REGIMEN GENERAL",COMPRAS!CX:CX,"=SI",COMPRAS!DD:DD,"=SI")</f>
        <v>0</v>
      </c>
      <c r="AF169" s="954"/>
      <c r="AG169" s="954"/>
      <c r="AH169" s="954"/>
      <c r="AI169" s="206"/>
    </row>
    <row r="170" spans="1:35" ht="21" customHeight="1" outlineLevel="1" collapsed="1" x14ac:dyDescent="0.35">
      <c r="A170" s="988"/>
      <c r="B170" s="989"/>
      <c r="C170" s="997"/>
      <c r="D170" s="15" t="s">
        <v>1168</v>
      </c>
      <c r="E170" s="15"/>
      <c r="F170" s="15"/>
      <c r="G170" s="15"/>
      <c r="H170" s="15"/>
      <c r="I170" s="15"/>
      <c r="J170" s="15"/>
      <c r="K170" s="15"/>
      <c r="L170" s="15"/>
      <c r="M170" s="15"/>
      <c r="N170" s="15"/>
      <c r="O170" s="15"/>
      <c r="P170" s="15"/>
      <c r="Q170" s="15"/>
      <c r="R170" s="15"/>
      <c r="S170" s="15"/>
      <c r="T170" s="15"/>
      <c r="U170" s="130"/>
      <c r="V170" s="226">
        <v>4070</v>
      </c>
      <c r="W170" s="225" t="s">
        <v>770</v>
      </c>
      <c r="X170" s="953">
        <f>SUM(X171)</f>
        <v>0</v>
      </c>
      <c r="Y170" s="954"/>
      <c r="Z170" s="954"/>
      <c r="AA170" s="954"/>
      <c r="AB170" s="224"/>
      <c r="AC170" s="54">
        <v>4570</v>
      </c>
      <c r="AD170" s="227" t="s">
        <v>770</v>
      </c>
      <c r="AE170" s="953">
        <f>SUM(AE171:AH171)</f>
        <v>0</v>
      </c>
      <c r="AF170" s="954"/>
      <c r="AG170" s="954"/>
      <c r="AH170" s="954"/>
      <c r="AI170" s="206"/>
    </row>
    <row r="171" spans="1:35" ht="21" hidden="1" customHeight="1" outlineLevel="2" x14ac:dyDescent="0.35">
      <c r="A171" s="988"/>
      <c r="B171" s="989"/>
      <c r="C171" s="997"/>
      <c r="D171" s="15"/>
      <c r="E171" s="15"/>
      <c r="F171" s="15"/>
      <c r="G171" s="15"/>
      <c r="H171" s="15"/>
      <c r="I171" s="15"/>
      <c r="J171" s="15"/>
      <c r="K171" s="15"/>
      <c r="L171" s="15"/>
      <c r="M171" s="15"/>
      <c r="N171" s="15"/>
      <c r="O171" s="15"/>
      <c r="P171" s="15"/>
      <c r="Q171" s="15"/>
      <c r="R171" s="15"/>
      <c r="S171" s="15"/>
      <c r="T171" s="15"/>
      <c r="U171" s="229" t="s">
        <v>1170</v>
      </c>
      <c r="V171" s="228" t="s">
        <v>179</v>
      </c>
      <c r="W171" s="225"/>
      <c r="X171" s="953">
        <f>SUMIFS(COMPRAS!BG:BG,COMPRAS!BF:BF,V171,COMPRAS!CS:CS,"=01-REGIMEN GENERAL",COMPRAS!CX:CX,"=SI",COMPRAS!DD:DD,"=SI")+SUMIFS(COMPRAS!BP:BP,COMPRAS!BO:BO,V171,COMPRAS!CS:CS,"=01-REGIMEN GENERAL",COMPRAS!CX:CX,"=SI",COMPRAS!DD:DD,"=SI")+SUMIFS(COMPRAS!BY:BY,COMPRAS!BX:BX,V171,COMPRAS!CS:CS,"=01-REGIMEN GENERAL",COMPRAS!CX:CX,"=SI",COMPRAS!DD:DD,"=SI")</f>
        <v>0</v>
      </c>
      <c r="Y171" s="954"/>
      <c r="Z171" s="954"/>
      <c r="AA171" s="954"/>
      <c r="AB171" s="224"/>
      <c r="AC171" s="52"/>
      <c r="AD171" s="227"/>
      <c r="AE171" s="953">
        <f>SUMIFS(COMPRAS!BI:BI,COMPRAS!BF:BF,V171,COMPRAS!CS:CS,"=01-REGIMEN GENERAL",COMPRAS!CX:CX,"=SI",COMPRAS!DD:DD,"=SI")+SUMIFS(COMPRAS!BR:BR,COMPRAS!BO:BO,V171,COMPRAS!CS:CS,"=01-REGIMEN GENERAL",COMPRAS!CX:CX,"=SI",COMPRAS!DD:DD,"=SI")+SUMIFS(COMPRAS!CA:CA,COMPRAS!BX:BX,V171,COMPRAS!CS:CS,"=01-REGIMEN GENERAL",COMPRAS!CX:CX,"=SI",COMPRAS!DD:DD,"=SI")</f>
        <v>0</v>
      </c>
      <c r="AF171" s="954"/>
      <c r="AG171" s="954"/>
      <c r="AH171" s="954"/>
      <c r="AI171" s="206"/>
    </row>
    <row r="172" spans="1:35" ht="21" customHeight="1" outlineLevel="1" collapsed="1" x14ac:dyDescent="0.35">
      <c r="A172" s="988"/>
      <c r="B172" s="989"/>
      <c r="C172" s="997"/>
      <c r="D172" s="15" t="s">
        <v>941</v>
      </c>
      <c r="E172" s="15"/>
      <c r="F172" s="15"/>
      <c r="G172" s="15"/>
      <c r="H172" s="15"/>
      <c r="I172" s="15"/>
      <c r="J172" s="15"/>
      <c r="K172" s="15"/>
      <c r="L172" s="15"/>
      <c r="M172" s="15"/>
      <c r="N172" s="15"/>
      <c r="O172" s="15"/>
      <c r="P172" s="15"/>
      <c r="Q172" s="15"/>
      <c r="R172" s="15"/>
      <c r="S172" s="15"/>
      <c r="T172" s="15"/>
      <c r="U172" s="130"/>
      <c r="V172" s="226">
        <v>408</v>
      </c>
      <c r="W172" s="225" t="s">
        <v>770</v>
      </c>
      <c r="X172" s="953">
        <f>SUM(X173:AA173)</f>
        <v>0</v>
      </c>
      <c r="Y172" s="954"/>
      <c r="Z172" s="954"/>
      <c r="AA172" s="954"/>
      <c r="AB172" s="224"/>
      <c r="AC172" s="54">
        <v>458</v>
      </c>
      <c r="AD172" s="227" t="s">
        <v>770</v>
      </c>
      <c r="AE172" s="953">
        <f>SUM(AE173:AH173)</f>
        <v>0</v>
      </c>
      <c r="AF172" s="954"/>
      <c r="AG172" s="954"/>
      <c r="AH172" s="954"/>
      <c r="AI172" s="206"/>
    </row>
    <row r="173" spans="1:35" ht="21" hidden="1" customHeight="1" outlineLevel="2" x14ac:dyDescent="0.35">
      <c r="A173" s="988"/>
      <c r="B173" s="989"/>
      <c r="C173" s="997"/>
      <c r="D173" s="15"/>
      <c r="E173" s="15"/>
      <c r="F173" s="15"/>
      <c r="G173" s="15"/>
      <c r="H173" s="15"/>
      <c r="I173" s="15"/>
      <c r="J173" s="15"/>
      <c r="K173" s="15"/>
      <c r="L173" s="15"/>
      <c r="M173" s="15"/>
      <c r="N173" s="15"/>
      <c r="O173" s="15"/>
      <c r="P173" s="15"/>
      <c r="Q173" s="15"/>
      <c r="R173" s="15"/>
      <c r="S173" s="15"/>
      <c r="T173" s="15"/>
      <c r="U173" s="229" t="s">
        <v>226</v>
      </c>
      <c r="V173" s="272">
        <v>521</v>
      </c>
      <c r="W173" s="225"/>
      <c r="X173" s="953">
        <f>SUMIFS(COMPRAS!BG:BG,COMPRAS!BF:BF,V173,COMPRAS!CS:CS,"=01-REGIMEN GENERAL",COMPRAS!CX:CX,"=SI",COMPRAS!DD:DD,"=SI")+SUMIFS(COMPRAS!BP:BP,COMPRAS!BO:BO,V173,COMPRAS!CS:CS,"=01-REGIMEN GENERAL",COMPRAS!CX:CX,"=SI",COMPRAS!DD:DD,"=SI")+SUMIFS(COMPRAS!BY:BY,COMPRAS!BX:BX,V173,COMPRAS!CS:CS,"=01-REGIMEN GENERAL",COMPRAS!CX:CX,"=SI",COMPRAS!DD:DD,"=SI")</f>
        <v>0</v>
      </c>
      <c r="Y173" s="954"/>
      <c r="Z173" s="954"/>
      <c r="AA173" s="954"/>
      <c r="AB173" s="224"/>
      <c r="AC173" s="52"/>
      <c r="AD173" s="227"/>
      <c r="AE173" s="953">
        <f>SUMIFS(COMPRAS!BI:BI,COMPRAS!BF:BF,V173,COMPRAS!CS:CS,"=01-REGIMEN GENERAL",COMPRAS!CX:CX,"=SI",COMPRAS!DD:DD,"=SI")+SUMIFS(COMPRAS!BR:BR,COMPRAS!BO:BO,V173,COMPRAS!CS:CS,"=01-REGIMEN GENERAL",COMPRAS!CX:CX,"=SI",COMPRAS!DD:DD,"=SI")+SUMIFS(COMPRAS!CA:CA,COMPRAS!BX:BX,V173,COMPRAS!CS:CS,"=01-REGIMEN GENERAL",COMPRAS!CX:CX,"=SI",COMPRAS!DD:DD,"=SI")</f>
        <v>0</v>
      </c>
      <c r="AF173" s="954"/>
      <c r="AG173" s="954"/>
      <c r="AH173" s="954"/>
      <c r="AI173" s="206"/>
    </row>
    <row r="174" spans="1:35" ht="21" customHeight="1" outlineLevel="1" collapsed="1" x14ac:dyDescent="0.35">
      <c r="A174" s="988"/>
      <c r="B174" s="989"/>
      <c r="C174" s="997"/>
      <c r="D174" s="15" t="s">
        <v>940</v>
      </c>
      <c r="E174" s="15"/>
      <c r="F174" s="15"/>
      <c r="G174" s="15"/>
      <c r="H174" s="15"/>
      <c r="I174" s="15"/>
      <c r="J174" s="15"/>
      <c r="K174" s="15"/>
      <c r="L174" s="15"/>
      <c r="M174" s="15"/>
      <c r="N174" s="15"/>
      <c r="O174" s="15"/>
      <c r="P174" s="15"/>
      <c r="Q174" s="15"/>
      <c r="R174" s="15"/>
      <c r="S174" s="15"/>
      <c r="T174" s="15"/>
      <c r="U174" s="130"/>
      <c r="V174" s="226">
        <v>409</v>
      </c>
      <c r="W174" s="225" t="s">
        <v>770</v>
      </c>
      <c r="X174" s="953">
        <f>SUM(X175:AA175)</f>
        <v>0</v>
      </c>
      <c r="Y174" s="954"/>
      <c r="Z174" s="954"/>
      <c r="AA174" s="954"/>
      <c r="AB174" s="224"/>
      <c r="AC174" s="54">
        <v>459</v>
      </c>
      <c r="AD174" s="227" t="s">
        <v>770</v>
      </c>
      <c r="AE174" s="953">
        <f>SUM(AE175:AH175)</f>
        <v>0</v>
      </c>
      <c r="AF174" s="954"/>
      <c r="AG174" s="954"/>
      <c r="AH174" s="954"/>
      <c r="AI174" s="206"/>
    </row>
    <row r="175" spans="1:35" ht="21" hidden="1" customHeight="1" outlineLevel="2" x14ac:dyDescent="0.35">
      <c r="A175" s="988"/>
      <c r="B175" s="989"/>
      <c r="C175" s="997"/>
      <c r="D175" s="15"/>
      <c r="E175" s="15"/>
      <c r="F175" s="15"/>
      <c r="G175" s="15"/>
      <c r="H175" s="15"/>
      <c r="I175" s="15"/>
      <c r="J175" s="15"/>
      <c r="K175" s="15"/>
      <c r="L175" s="15"/>
      <c r="M175" s="15"/>
      <c r="N175" s="15"/>
      <c r="O175" s="15"/>
      <c r="P175" s="15"/>
      <c r="Q175" s="15"/>
      <c r="R175" s="15"/>
      <c r="S175" s="15"/>
      <c r="T175" s="15"/>
      <c r="U175" s="229" t="s">
        <v>228</v>
      </c>
      <c r="V175" s="272" t="s">
        <v>227</v>
      </c>
      <c r="W175" s="225"/>
      <c r="X175" s="953">
        <f>SUMIFS(COMPRAS!BG:BG,COMPRAS!BF:BF,V175,COMPRAS!CS:CS,"=01-REGIMEN GENERAL",COMPRAS!CX:CX,"=SI",COMPRAS!DD:DD,"=SI")+SUMIFS(COMPRAS!BP:BP,COMPRAS!BO:BO,V175,COMPRAS!CS:CS,"=01-REGIMEN GENERAL",COMPRAS!CX:CX,"=SI",COMPRAS!DD:DD,"=SI")+SUMIFS(COMPRAS!BY:BY,COMPRAS!BX:BX,V175,COMPRAS!CS:CS,"=01-REGIMEN GENERAL",COMPRAS!CX:CX,"=SI",COMPRAS!DD:DD,"=SI")</f>
        <v>0</v>
      </c>
      <c r="Y175" s="954"/>
      <c r="Z175" s="954"/>
      <c r="AA175" s="954"/>
      <c r="AB175" s="224"/>
      <c r="AC175" s="52"/>
      <c r="AD175" s="227"/>
      <c r="AE175" s="953">
        <f>SUMIFS(COMPRAS!BI:BI,COMPRAS!BF:BF,V175,COMPRAS!CS:CS,"=01-REGIMEN GENERAL",COMPRAS!CX:CX,"=SI",COMPRAS!DD:DD,"=SI")+SUMIFS(COMPRAS!BR:BR,COMPRAS!BO:BO,V175,COMPRAS!CS:CS,"=01-REGIMEN GENERAL",COMPRAS!CX:CX,"=SI",COMPRAS!DD:DD,"=SI")+SUMIFS(COMPRAS!CA:CA,COMPRAS!BX:BX,V175,COMPRAS!CS:CS,"=01-REGIMEN GENERAL",COMPRAS!CX:CX,"=SI",COMPRAS!DD:DD,"=SI")</f>
        <v>0</v>
      </c>
      <c r="AF175" s="954"/>
      <c r="AG175" s="954"/>
      <c r="AH175" s="954"/>
      <c r="AI175" s="206"/>
    </row>
    <row r="176" spans="1:35" ht="21" customHeight="1" outlineLevel="1" collapsed="1" x14ac:dyDescent="0.35">
      <c r="A176" s="988"/>
      <c r="B176" s="989"/>
      <c r="C176" s="997"/>
      <c r="D176" s="15" t="s">
        <v>939</v>
      </c>
      <c r="E176" s="15"/>
      <c r="F176" s="15"/>
      <c r="G176" s="15"/>
      <c r="H176" s="15"/>
      <c r="I176" s="15"/>
      <c r="J176" s="15"/>
      <c r="K176" s="15"/>
      <c r="L176" s="15"/>
      <c r="M176" s="15"/>
      <c r="N176" s="15"/>
      <c r="O176" s="15"/>
      <c r="P176" s="15"/>
      <c r="Q176" s="15"/>
      <c r="R176" s="15"/>
      <c r="S176" s="15"/>
      <c r="T176" s="15"/>
      <c r="U176" s="130"/>
      <c r="V176" s="226">
        <v>410</v>
      </c>
      <c r="W176" s="225" t="s">
        <v>770</v>
      </c>
      <c r="X176" s="953">
        <f>SUM(X177:AA177)</f>
        <v>0</v>
      </c>
      <c r="Y176" s="954"/>
      <c r="Z176" s="954"/>
      <c r="AA176" s="954"/>
      <c r="AB176" s="224"/>
      <c r="AC176" s="54">
        <v>460</v>
      </c>
      <c r="AD176" s="227" t="s">
        <v>770</v>
      </c>
      <c r="AE176" s="953">
        <f>SUM(AE177:AH177)</f>
        <v>0</v>
      </c>
      <c r="AF176" s="954"/>
      <c r="AG176" s="954"/>
      <c r="AH176" s="954"/>
      <c r="AI176" s="206"/>
    </row>
    <row r="177" spans="1:35" ht="21" hidden="1" customHeight="1" outlineLevel="2" x14ac:dyDescent="0.35">
      <c r="A177" s="988"/>
      <c r="B177" s="989"/>
      <c r="C177" s="997"/>
      <c r="D177" s="15"/>
      <c r="E177" s="15"/>
      <c r="F177" s="15"/>
      <c r="G177" s="15"/>
      <c r="H177" s="15"/>
      <c r="I177" s="15"/>
      <c r="J177" s="15"/>
      <c r="K177" s="15"/>
      <c r="L177" s="15"/>
      <c r="M177" s="15"/>
      <c r="N177" s="15"/>
      <c r="O177" s="15"/>
      <c r="P177" s="15"/>
      <c r="Q177" s="15"/>
      <c r="R177" s="15"/>
      <c r="S177" s="15"/>
      <c r="T177" s="15"/>
      <c r="U177" s="229" t="s">
        <v>1065</v>
      </c>
      <c r="V177" s="272" t="s">
        <v>1064</v>
      </c>
      <c r="W177" s="225"/>
      <c r="X177" s="953">
        <f>SUMIFS(COMPRAS!BG:BG,COMPRAS!BF:BF,V177,COMPRAS!CS:CS,"=01-REGIMEN GENERAL",COMPRAS!CX:CX,"=SI",COMPRAS!DD:DD,"=SI")+SUMIFS(COMPRAS!BP:BP,COMPRAS!BO:BO,V177,COMPRAS!CS:CS,"=01-REGIMEN GENERAL",COMPRAS!CX:CX,"=SI",COMPRAS!DD:DD,"=SI")+SUMIFS(COMPRAS!BY:BY,COMPRAS!BX:BX,V177,COMPRAS!CS:CS,"=01-REGIMEN GENERAL",COMPRAS!CX:CX,"=SI",COMPRAS!DD:DD,"=SI")</f>
        <v>0</v>
      </c>
      <c r="Y177" s="954"/>
      <c r="Z177" s="954"/>
      <c r="AA177" s="954"/>
      <c r="AB177" s="224"/>
      <c r="AC177" s="52"/>
      <c r="AD177" s="227"/>
      <c r="AE177" s="953">
        <f>SUMIFS(COMPRAS!BI:BI,COMPRAS!BF:BF,V177,COMPRAS!CS:CS,"=01-REGIMEN GENERAL",COMPRAS!CX:CX,"=SI",COMPRAS!DD:DD,"=SI")+SUMIFS(COMPRAS!BR:BR,COMPRAS!BO:BO,V177,COMPRAS!CS:CS,"=01-REGIMEN GENERAL",COMPRAS!CX:CX,"=SI",COMPRAS!DD:DD,"=SI")+SUMIFS(COMPRAS!CA:CA,COMPRAS!BX:BX,V177,COMPRAS!CS:CS,"=01-REGIMEN GENERAL",COMPRAS!CX:CX,"=SI",COMPRAS!DD:DD,"=SI")</f>
        <v>0</v>
      </c>
      <c r="AF177" s="954"/>
      <c r="AG177" s="954"/>
      <c r="AH177" s="954"/>
      <c r="AI177" s="206"/>
    </row>
    <row r="178" spans="1:35" ht="21" customHeight="1" outlineLevel="1" collapsed="1" x14ac:dyDescent="0.35">
      <c r="A178" s="988"/>
      <c r="B178" s="989"/>
      <c r="C178" s="997"/>
      <c r="D178" s="15" t="s">
        <v>938</v>
      </c>
      <c r="E178" s="15"/>
      <c r="F178" s="15"/>
      <c r="G178" s="15"/>
      <c r="H178" s="15"/>
      <c r="I178" s="15"/>
      <c r="J178" s="15"/>
      <c r="K178" s="15"/>
      <c r="L178" s="15"/>
      <c r="M178" s="15"/>
      <c r="N178" s="15"/>
      <c r="O178" s="15"/>
      <c r="P178" s="15"/>
      <c r="Q178" s="15"/>
      <c r="R178" s="15"/>
      <c r="S178" s="15"/>
      <c r="T178" s="15"/>
      <c r="U178" s="130"/>
      <c r="V178" s="226">
        <v>411</v>
      </c>
      <c r="W178" s="225" t="s">
        <v>770</v>
      </c>
      <c r="X178" s="953">
        <f>SUM(X179:AA204)</f>
        <v>0</v>
      </c>
      <c r="Y178" s="954"/>
      <c r="Z178" s="954"/>
      <c r="AA178" s="954"/>
      <c r="AB178" s="224"/>
      <c r="AC178" s="54">
        <v>461</v>
      </c>
      <c r="AD178" s="227" t="s">
        <v>770</v>
      </c>
      <c r="AE178" s="953">
        <f>SUM(AE179:AH204)</f>
        <v>0</v>
      </c>
      <c r="AF178" s="954"/>
      <c r="AG178" s="954"/>
      <c r="AH178" s="954"/>
      <c r="AI178" s="206"/>
    </row>
    <row r="179" spans="1:35" ht="21" hidden="1" customHeight="1" outlineLevel="2" x14ac:dyDescent="0.35">
      <c r="A179" s="988"/>
      <c r="B179" s="989"/>
      <c r="C179" s="997"/>
      <c r="D179" s="15"/>
      <c r="E179" s="15"/>
      <c r="F179" s="15"/>
      <c r="G179" s="15"/>
      <c r="H179" s="15"/>
      <c r="I179" s="15"/>
      <c r="J179" s="15"/>
      <c r="K179" s="15"/>
      <c r="L179" s="15"/>
      <c r="M179" s="15"/>
      <c r="N179" s="15"/>
      <c r="O179" s="15"/>
      <c r="P179" s="15"/>
      <c r="Q179" s="15"/>
      <c r="R179" s="15"/>
      <c r="S179" s="15"/>
      <c r="T179" s="15"/>
      <c r="U179" s="229" t="s">
        <v>173</v>
      </c>
      <c r="V179" s="272">
        <v>500</v>
      </c>
      <c r="W179" s="225"/>
      <c r="X179" s="953">
        <f>SUMIFS(COMPRAS!BG:BG,COMPRAS!BF:BF,V179,COMPRAS!CS:CS,"=01-REGIMEN GENERAL",COMPRAS!CX:CX,"=SI",COMPRAS!DD:DD,"=SI")+SUMIFS(COMPRAS!BP:BP,COMPRAS!BO:BO,V179,COMPRAS!CS:CS,"=01-REGIMEN GENERAL",COMPRAS!CX:CX,"=SI",COMPRAS!DD:DD,"=SI")+SUMIFS(COMPRAS!BY:BY,COMPRAS!BX:BX,V179,COMPRAS!CS:CS,"=01-REGIMEN GENERAL",COMPRAS!CX:CX,"=SI",COMPRAS!DD:DD,"=SI")</f>
        <v>0</v>
      </c>
      <c r="Y179" s="954"/>
      <c r="Z179" s="954"/>
      <c r="AA179" s="954"/>
      <c r="AB179" s="224"/>
      <c r="AC179" s="52"/>
      <c r="AD179" s="227"/>
      <c r="AE179" s="953">
        <f>SUMIFS(COMPRAS!BI:BI,COMPRAS!BF:BF,V179,COMPRAS!CS:CS,"=01-REGIMEN GENERAL",COMPRAS!CX:CX,"=SI",COMPRAS!DD:DD,"=SI")+SUMIFS(COMPRAS!BR:BR,COMPRAS!BO:BO,V179,COMPRAS!CS:CS,"=01-REGIMEN GENERAL",COMPRAS!CX:CX,"=SI",COMPRAS!DD:DD,"=SI")+SUMIFS(COMPRAS!CA:CA,COMPRAS!BX:BX,V179,COMPRAS!CS:CS,"=01-REGIMEN GENERAL",COMPRAS!CX:CX,"=SI",COMPRAS!DD:DD,"=SI")</f>
        <v>0</v>
      </c>
      <c r="AF179" s="954"/>
      <c r="AG179" s="954"/>
      <c r="AH179" s="954"/>
      <c r="AI179" s="206"/>
    </row>
    <row r="180" spans="1:35" ht="21" hidden="1" customHeight="1" outlineLevel="2" x14ac:dyDescent="0.35">
      <c r="A180" s="988"/>
      <c r="B180" s="989"/>
      <c r="C180" s="997"/>
      <c r="D180" s="15"/>
      <c r="E180" s="15"/>
      <c r="F180" s="15"/>
      <c r="G180" s="15"/>
      <c r="H180" s="15"/>
      <c r="I180" s="15"/>
      <c r="J180" s="15"/>
      <c r="K180" s="15"/>
      <c r="L180" s="15"/>
      <c r="M180" s="15"/>
      <c r="N180" s="15"/>
      <c r="O180" s="15"/>
      <c r="P180" s="15"/>
      <c r="Q180" s="15"/>
      <c r="R180" s="15"/>
      <c r="S180" s="15"/>
      <c r="T180" s="15"/>
      <c r="U180" s="229" t="s">
        <v>174</v>
      </c>
      <c r="V180" s="272">
        <v>501</v>
      </c>
      <c r="W180" s="225"/>
      <c r="X180" s="953">
        <f>SUMIFS(COMPRAS!BG:BG,COMPRAS!BF:BF,V180,COMPRAS!CS:CS,"=01-REGIMEN GENERAL",COMPRAS!CX:CX,"=SI",COMPRAS!DD:DD,"=SI")+SUMIFS(COMPRAS!BP:BP,COMPRAS!BO:BO,V180,COMPRAS!CS:CS,"=01-REGIMEN GENERAL",COMPRAS!CX:CX,"=SI",COMPRAS!DD:DD,"=SI")+SUMIFS(COMPRAS!BY:BY,COMPRAS!BX:BX,V180,COMPRAS!CS:CS,"=01-REGIMEN GENERAL",COMPRAS!CX:CX,"=SI",COMPRAS!DD:DD,"=SI")</f>
        <v>0</v>
      </c>
      <c r="Y180" s="954"/>
      <c r="Z180" s="954"/>
      <c r="AA180" s="954"/>
      <c r="AB180" s="224"/>
      <c r="AC180" s="52"/>
      <c r="AD180" s="227"/>
      <c r="AE180" s="953">
        <f>SUMIFS(COMPRAS!BI:BI,COMPRAS!BF:BF,V180,COMPRAS!CS:CS,"=01-REGIMEN GENERAL",COMPRAS!CX:CX,"=SI",COMPRAS!DD:DD,"=SI")+SUMIFS(COMPRAS!BR:BR,COMPRAS!BO:BO,V180,COMPRAS!CS:CS,"=01-REGIMEN GENERAL",COMPRAS!CX:CX,"=SI",COMPRAS!DD:DD,"=SI")+SUMIFS(COMPRAS!CA:CA,COMPRAS!BX:BX,V180,COMPRAS!CS:CS,"=01-REGIMEN GENERAL",COMPRAS!CX:CX,"=SI",COMPRAS!DD:DD,"=SI")</f>
        <v>0</v>
      </c>
      <c r="AF180" s="954"/>
      <c r="AG180" s="954"/>
      <c r="AH180" s="954"/>
      <c r="AI180" s="206"/>
    </row>
    <row r="181" spans="1:35" ht="21" hidden="1" customHeight="1" outlineLevel="2" x14ac:dyDescent="0.35">
      <c r="A181" s="988"/>
      <c r="B181" s="989"/>
      <c r="C181" s="997"/>
      <c r="D181" s="15"/>
      <c r="E181" s="15"/>
      <c r="F181" s="15"/>
      <c r="G181" s="15"/>
      <c r="H181" s="15"/>
      <c r="I181" s="15"/>
      <c r="J181" s="15"/>
      <c r="K181" s="15"/>
      <c r="L181" s="15"/>
      <c r="M181" s="15"/>
      <c r="N181" s="15"/>
      <c r="O181" s="15"/>
      <c r="P181" s="15"/>
      <c r="Q181" s="15"/>
      <c r="R181" s="15"/>
      <c r="S181" s="15"/>
      <c r="T181" s="15"/>
      <c r="U181" s="229" t="s">
        <v>175</v>
      </c>
      <c r="V181" s="272">
        <v>503</v>
      </c>
      <c r="W181" s="225"/>
      <c r="X181" s="953">
        <f>SUMIFS(COMPRAS!BG:BG,COMPRAS!BF:BF,V181,COMPRAS!CS:CS,"=01-REGIMEN GENERAL",COMPRAS!CX:CX,"=SI",COMPRAS!DD:DD,"=SI")+SUMIFS(COMPRAS!BP:BP,COMPRAS!BO:BO,V181,COMPRAS!CS:CS,"=01-REGIMEN GENERAL",COMPRAS!CX:CX,"=SI",COMPRAS!DD:DD,"=SI")+SUMIFS(COMPRAS!BY:BY,COMPRAS!BX:BX,V181,COMPRAS!CS:CS,"=01-REGIMEN GENERAL",COMPRAS!CX:CX,"=SI",COMPRAS!DD:DD,"=SI")</f>
        <v>0</v>
      </c>
      <c r="Y181" s="954"/>
      <c r="Z181" s="954"/>
      <c r="AA181" s="954"/>
      <c r="AB181" s="224"/>
      <c r="AC181" s="52"/>
      <c r="AD181" s="227"/>
      <c r="AE181" s="953">
        <f>SUMIFS(COMPRAS!BI:BI,COMPRAS!BF:BF,V181,COMPRAS!CS:CS,"=01-REGIMEN GENERAL",COMPRAS!CX:CX,"=SI",COMPRAS!DD:DD,"=SI")+SUMIFS(COMPRAS!BR:BR,COMPRAS!BO:BO,V181,COMPRAS!CS:CS,"=01-REGIMEN GENERAL",COMPRAS!CX:CX,"=SI",COMPRAS!DD:DD,"=SI")+SUMIFS(COMPRAS!CA:CA,COMPRAS!BX:BX,V181,COMPRAS!CS:CS,"=01-REGIMEN GENERAL",COMPRAS!CX:CX,"=SI",COMPRAS!DD:DD,"=SI")</f>
        <v>0</v>
      </c>
      <c r="AF181" s="954"/>
      <c r="AG181" s="954"/>
      <c r="AH181" s="954"/>
      <c r="AI181" s="206"/>
    </row>
    <row r="182" spans="1:35" ht="21" hidden="1" customHeight="1" outlineLevel="2" x14ac:dyDescent="0.35">
      <c r="A182" s="988"/>
      <c r="B182" s="989"/>
      <c r="C182" s="997"/>
      <c r="D182" s="15"/>
      <c r="E182" s="15"/>
      <c r="F182" s="15"/>
      <c r="G182" s="15"/>
      <c r="H182" s="15"/>
      <c r="I182" s="15"/>
      <c r="J182" s="15"/>
      <c r="K182" s="15"/>
      <c r="L182" s="15"/>
      <c r="M182" s="15"/>
      <c r="N182" s="15"/>
      <c r="O182" s="15"/>
      <c r="P182" s="15"/>
      <c r="Q182" s="15"/>
      <c r="R182" s="15"/>
      <c r="S182" s="15"/>
      <c r="T182" s="15"/>
      <c r="U182" s="229" t="s">
        <v>186</v>
      </c>
      <c r="V182" s="272">
        <v>505</v>
      </c>
      <c r="W182" s="225"/>
      <c r="X182" s="953">
        <f>SUMIFS(COMPRAS!BG:BG,COMPRAS!BF:BF,V182,COMPRAS!CS:CS,"=01-REGIMEN GENERAL",COMPRAS!CX:CX,"=SI",COMPRAS!DD:DD,"=SI")+SUMIFS(COMPRAS!BP:BP,COMPRAS!BO:BO,V182,COMPRAS!CS:CS,"=01-REGIMEN GENERAL",COMPRAS!CX:CX,"=SI",COMPRAS!DD:DD,"=SI")+SUMIFS(COMPRAS!BY:BY,COMPRAS!BX:BX,V182,COMPRAS!CS:CS,"=01-REGIMEN GENERAL",COMPRAS!CX:CX,"=SI",COMPRAS!DD:DD,"=SI")</f>
        <v>0</v>
      </c>
      <c r="Y182" s="954"/>
      <c r="Z182" s="954"/>
      <c r="AA182" s="954"/>
      <c r="AB182" s="224"/>
      <c r="AC182" s="52"/>
      <c r="AD182" s="227"/>
      <c r="AE182" s="953">
        <f>SUMIFS(COMPRAS!BI:BI,COMPRAS!BF:BF,V182,COMPRAS!CS:CS,"=01-REGIMEN GENERAL",COMPRAS!CX:CX,"=SI",COMPRAS!DD:DD,"=SI")+SUMIFS(COMPRAS!BR:BR,COMPRAS!BO:BO,V182,COMPRAS!CS:CS,"=01-REGIMEN GENERAL",COMPRAS!CX:CX,"=SI",COMPRAS!DD:DD,"=SI")+SUMIFS(COMPRAS!CA:CA,COMPRAS!BX:BX,V182,COMPRAS!CS:CS,"=01-REGIMEN GENERAL",COMPRAS!CX:CX,"=SI",COMPRAS!DD:DD,"=SI")</f>
        <v>0</v>
      </c>
      <c r="AF182" s="954"/>
      <c r="AG182" s="954"/>
      <c r="AH182" s="954"/>
      <c r="AI182" s="206"/>
    </row>
    <row r="183" spans="1:35" ht="21" hidden="1" customHeight="1" outlineLevel="2" x14ac:dyDescent="0.35">
      <c r="A183" s="988"/>
      <c r="B183" s="989"/>
      <c r="C183" s="997"/>
      <c r="D183" s="15"/>
      <c r="E183" s="15"/>
      <c r="F183" s="15"/>
      <c r="G183" s="15"/>
      <c r="H183" s="15"/>
      <c r="I183" s="15"/>
      <c r="J183" s="15"/>
      <c r="K183" s="15"/>
      <c r="L183" s="15"/>
      <c r="M183" s="15"/>
      <c r="N183" s="15"/>
      <c r="O183" s="15"/>
      <c r="P183" s="15"/>
      <c r="Q183" s="15"/>
      <c r="R183" s="15"/>
      <c r="S183" s="15"/>
      <c r="T183" s="15"/>
      <c r="U183" s="229" t="s">
        <v>199</v>
      </c>
      <c r="V183" s="272">
        <v>509</v>
      </c>
      <c r="W183" s="225"/>
      <c r="X183" s="953">
        <f>SUMIFS(COMPRAS!BG:BG,COMPRAS!BF:BF,V183,COMPRAS!CS:CS,"=01-REGIMEN GENERAL",COMPRAS!CX:CX,"=SI",COMPRAS!DD:DD,"=SI")+SUMIFS(COMPRAS!BP:BP,COMPRAS!BO:BO,V183,COMPRAS!CS:CS,"=01-REGIMEN GENERAL",COMPRAS!CX:CX,"=SI",COMPRAS!DD:DD,"=SI")+SUMIFS(COMPRAS!BY:BY,COMPRAS!BX:BX,V183,COMPRAS!CS:CS,"=01-REGIMEN GENERAL",COMPRAS!CX:CX,"=SI",COMPRAS!DD:DD,"=SI")</f>
        <v>0</v>
      </c>
      <c r="Y183" s="954"/>
      <c r="Z183" s="954"/>
      <c r="AA183" s="954"/>
      <c r="AB183" s="224"/>
      <c r="AC183" s="52"/>
      <c r="AD183" s="227"/>
      <c r="AE183" s="953">
        <f>SUMIFS(COMPRAS!BI:BI,COMPRAS!BF:BF,V183,COMPRAS!CS:CS,"=01-REGIMEN GENERAL",COMPRAS!CX:CX,"=SI",COMPRAS!DD:DD,"=SI")+SUMIFS(COMPRAS!BR:BR,COMPRAS!BO:BO,V183,COMPRAS!CS:CS,"=01-REGIMEN GENERAL",COMPRAS!CX:CX,"=SI",COMPRAS!DD:DD,"=SI")+SUMIFS(COMPRAS!CA:CA,COMPRAS!BX:BX,V183,COMPRAS!CS:CS,"=01-REGIMEN GENERAL",COMPRAS!CX:CX,"=SI",COMPRAS!DD:DD,"=SI")</f>
        <v>0</v>
      </c>
      <c r="AF183" s="954"/>
      <c r="AG183" s="954"/>
      <c r="AH183" s="954"/>
      <c r="AI183" s="206"/>
    </row>
    <row r="184" spans="1:35" ht="21" hidden="1" customHeight="1" outlineLevel="2" x14ac:dyDescent="0.35">
      <c r="A184" s="988"/>
      <c r="B184" s="989"/>
      <c r="C184" s="997"/>
      <c r="D184" s="15"/>
      <c r="E184" s="15"/>
      <c r="F184" s="15"/>
      <c r="G184" s="15"/>
      <c r="H184" s="15"/>
      <c r="I184" s="15"/>
      <c r="J184" s="15"/>
      <c r="K184" s="15"/>
      <c r="L184" s="15"/>
      <c r="M184" s="15"/>
      <c r="N184" s="15"/>
      <c r="O184" s="15"/>
      <c r="P184" s="15"/>
      <c r="Q184" s="15"/>
      <c r="R184" s="15"/>
      <c r="S184" s="15"/>
      <c r="T184" s="15"/>
      <c r="U184" s="229" t="s">
        <v>202</v>
      </c>
      <c r="V184" s="272">
        <v>510</v>
      </c>
      <c r="W184" s="225"/>
      <c r="X184" s="953">
        <f>SUMIFS(COMPRAS!BG:BG,COMPRAS!BF:BF,V184,COMPRAS!CS:CS,"=01-REGIMEN GENERAL",COMPRAS!CX:CX,"=SI",COMPRAS!DD:DD,"=SI")+SUMIFS(COMPRAS!BP:BP,COMPRAS!BO:BO,V184,COMPRAS!CS:CS,"=01-REGIMEN GENERAL",COMPRAS!CX:CX,"=SI",COMPRAS!DD:DD,"=SI")+SUMIFS(COMPRAS!BY:BY,COMPRAS!BX:BX,V184,COMPRAS!CS:CS,"=01-REGIMEN GENERAL",COMPRAS!CX:CX,"=SI",COMPRAS!DD:DD,"=SI")</f>
        <v>0</v>
      </c>
      <c r="Y184" s="954"/>
      <c r="Z184" s="954"/>
      <c r="AA184" s="954"/>
      <c r="AB184" s="224"/>
      <c r="AC184" s="52"/>
      <c r="AD184" s="227"/>
      <c r="AE184" s="953">
        <f>SUMIFS(COMPRAS!BI:BI,COMPRAS!BF:BF,V184,COMPRAS!CS:CS,"=01-REGIMEN GENERAL",COMPRAS!CX:CX,"=SI",COMPRAS!DD:DD,"=SI")+SUMIFS(COMPRAS!BR:BR,COMPRAS!BO:BO,V184,COMPRAS!CS:CS,"=01-REGIMEN GENERAL",COMPRAS!CX:CX,"=SI",COMPRAS!DD:DD,"=SI")+SUMIFS(COMPRAS!CA:CA,COMPRAS!BX:BX,V184,COMPRAS!CS:CS,"=01-REGIMEN GENERAL",COMPRAS!CX:CX,"=SI",COMPRAS!DD:DD,"=SI")</f>
        <v>0</v>
      </c>
      <c r="AF184" s="954"/>
      <c r="AG184" s="954"/>
      <c r="AH184" s="954"/>
      <c r="AI184" s="206"/>
    </row>
    <row r="185" spans="1:35" ht="21" hidden="1" customHeight="1" outlineLevel="2" x14ac:dyDescent="0.35">
      <c r="A185" s="988"/>
      <c r="B185" s="989"/>
      <c r="C185" s="997"/>
      <c r="D185" s="15"/>
      <c r="E185" s="15"/>
      <c r="F185" s="15"/>
      <c r="G185" s="15"/>
      <c r="H185" s="15"/>
      <c r="I185" s="15"/>
      <c r="J185" s="15"/>
      <c r="K185" s="15"/>
      <c r="L185" s="15"/>
      <c r="M185" s="15"/>
      <c r="N185" s="15"/>
      <c r="O185" s="15"/>
      <c r="P185" s="15"/>
      <c r="Q185" s="15"/>
      <c r="R185" s="15"/>
      <c r="S185" s="15"/>
      <c r="T185" s="15"/>
      <c r="U185" s="229" t="s">
        <v>203</v>
      </c>
      <c r="V185" s="272">
        <v>511</v>
      </c>
      <c r="W185" s="225"/>
      <c r="X185" s="953">
        <f>SUMIFS(COMPRAS!BG:BG,COMPRAS!BF:BF,V185,COMPRAS!CS:CS,"=01-REGIMEN GENERAL",COMPRAS!CX:CX,"=SI",COMPRAS!DD:DD,"=SI")+SUMIFS(COMPRAS!BP:BP,COMPRAS!BO:BO,V185,COMPRAS!CS:CS,"=01-REGIMEN GENERAL",COMPRAS!CX:CX,"=SI",COMPRAS!DD:DD,"=SI")+SUMIFS(COMPRAS!BY:BY,COMPRAS!BX:BX,V185,COMPRAS!CS:CS,"=01-REGIMEN GENERAL",COMPRAS!CX:CX,"=SI",COMPRAS!DD:DD,"=SI")</f>
        <v>0</v>
      </c>
      <c r="Y185" s="954"/>
      <c r="Z185" s="954"/>
      <c r="AA185" s="954"/>
      <c r="AB185" s="224"/>
      <c r="AC185" s="52"/>
      <c r="AD185" s="227"/>
      <c r="AE185" s="953">
        <f>SUMIFS(COMPRAS!BI:BI,COMPRAS!BF:BF,V185,COMPRAS!CS:CS,"=01-REGIMEN GENERAL",COMPRAS!CX:CX,"=SI",COMPRAS!DD:DD,"=SI")+SUMIFS(COMPRAS!BR:BR,COMPRAS!BO:BO,V185,COMPRAS!CS:CS,"=01-REGIMEN GENERAL",COMPRAS!CX:CX,"=SI",COMPRAS!DD:DD,"=SI")+SUMIFS(COMPRAS!CA:CA,COMPRAS!BX:BX,V185,COMPRAS!CS:CS,"=01-REGIMEN GENERAL",COMPRAS!CX:CX,"=SI",COMPRAS!DD:DD,"=SI")</f>
        <v>0</v>
      </c>
      <c r="AF185" s="954"/>
      <c r="AG185" s="954"/>
      <c r="AH185" s="954"/>
      <c r="AI185" s="206"/>
    </row>
    <row r="186" spans="1:35" ht="21" hidden="1" customHeight="1" outlineLevel="2" x14ac:dyDescent="0.35">
      <c r="A186" s="988"/>
      <c r="B186" s="989"/>
      <c r="C186" s="997"/>
      <c r="D186" s="15"/>
      <c r="E186" s="15"/>
      <c r="F186" s="15"/>
      <c r="G186" s="15"/>
      <c r="H186" s="15"/>
      <c r="I186" s="15"/>
      <c r="J186" s="15"/>
      <c r="K186" s="15"/>
      <c r="L186" s="15"/>
      <c r="M186" s="15"/>
      <c r="N186" s="15"/>
      <c r="O186" s="15"/>
      <c r="P186" s="15"/>
      <c r="Q186" s="15"/>
      <c r="R186" s="15"/>
      <c r="S186" s="15"/>
      <c r="T186" s="15"/>
      <c r="U186" s="229" t="s">
        <v>204</v>
      </c>
      <c r="V186" s="272">
        <v>512</v>
      </c>
      <c r="W186" s="225"/>
      <c r="X186" s="953">
        <f>SUMIFS(COMPRAS!BG:BG,COMPRAS!BF:BF,V186,COMPRAS!CS:CS,"=01-REGIMEN GENERAL",COMPRAS!CX:CX,"=SI",COMPRAS!DD:DD,"=SI")+SUMIFS(COMPRAS!BP:BP,COMPRAS!BO:BO,V186,COMPRAS!CS:CS,"=01-REGIMEN GENERAL",COMPRAS!CX:CX,"=SI",COMPRAS!DD:DD,"=SI")+SUMIFS(COMPRAS!BY:BY,COMPRAS!BX:BX,V186,COMPRAS!CS:CS,"=01-REGIMEN GENERAL",COMPRAS!CX:CX,"=SI",COMPRAS!DD:DD,"=SI")</f>
        <v>0</v>
      </c>
      <c r="Y186" s="954"/>
      <c r="Z186" s="954"/>
      <c r="AA186" s="954"/>
      <c r="AB186" s="224"/>
      <c r="AC186" s="52"/>
      <c r="AD186" s="227"/>
      <c r="AE186" s="953">
        <f>SUMIFS(COMPRAS!BI:BI,COMPRAS!BF:BF,V186,COMPRAS!CS:CS,"=01-REGIMEN GENERAL",COMPRAS!CX:CX,"=SI",COMPRAS!DD:DD,"=SI")+SUMIFS(COMPRAS!BR:BR,COMPRAS!BO:BO,V186,COMPRAS!CS:CS,"=01-REGIMEN GENERAL",COMPRAS!CX:CX,"=SI",COMPRAS!DD:DD,"=SI")+SUMIFS(COMPRAS!CA:CA,COMPRAS!BX:BX,V186,COMPRAS!CS:CS,"=01-REGIMEN GENERAL",COMPRAS!CX:CX,"=SI",COMPRAS!DD:DD,"=SI")</f>
        <v>0</v>
      </c>
      <c r="AF186" s="954"/>
      <c r="AG186" s="954"/>
      <c r="AH186" s="954"/>
      <c r="AI186" s="206"/>
    </row>
    <row r="187" spans="1:35" ht="21" hidden="1" customHeight="1" outlineLevel="2" x14ac:dyDescent="0.35">
      <c r="A187" s="988"/>
      <c r="B187" s="989"/>
      <c r="C187" s="997"/>
      <c r="D187" s="15"/>
      <c r="E187" s="15"/>
      <c r="F187" s="15"/>
      <c r="G187" s="15"/>
      <c r="H187" s="15"/>
      <c r="I187" s="15"/>
      <c r="J187" s="15"/>
      <c r="K187" s="15"/>
      <c r="L187" s="15"/>
      <c r="M187" s="15"/>
      <c r="N187" s="15"/>
      <c r="O187" s="15"/>
      <c r="P187" s="15"/>
      <c r="Q187" s="15"/>
      <c r="R187" s="15"/>
      <c r="S187" s="15"/>
      <c r="T187" s="15"/>
      <c r="U187" s="229" t="s">
        <v>205</v>
      </c>
      <c r="V187" s="272">
        <v>513</v>
      </c>
      <c r="W187" s="225"/>
      <c r="X187" s="953">
        <f>SUMIFS(COMPRAS!BG:BG,COMPRAS!BF:BF,V187,COMPRAS!CS:CS,"=01-REGIMEN GENERAL",COMPRAS!CX:CX,"=SI",COMPRAS!DD:DD,"=SI")+SUMIFS(COMPRAS!BP:BP,COMPRAS!BO:BO,V187,COMPRAS!CS:CS,"=01-REGIMEN GENERAL",COMPRAS!CX:CX,"=SI",COMPRAS!DD:DD,"=SI")+SUMIFS(COMPRAS!BY:BY,COMPRAS!BX:BX,V187,COMPRAS!CS:CS,"=01-REGIMEN GENERAL",COMPRAS!CX:CX,"=SI",COMPRAS!DD:DD,"=SI")</f>
        <v>0</v>
      </c>
      <c r="Y187" s="954"/>
      <c r="Z187" s="954"/>
      <c r="AA187" s="954"/>
      <c r="AB187" s="224"/>
      <c r="AC187" s="52"/>
      <c r="AD187" s="227"/>
      <c r="AE187" s="953">
        <f>SUMIFS(COMPRAS!BI:BI,COMPRAS!BF:BF,V187,COMPRAS!CS:CS,"=01-REGIMEN GENERAL",COMPRAS!CX:CX,"=SI",COMPRAS!DD:DD,"=SI")+SUMIFS(COMPRAS!BR:BR,COMPRAS!BO:BO,V187,COMPRAS!CS:CS,"=01-REGIMEN GENERAL",COMPRAS!CX:CX,"=SI",COMPRAS!DD:DD,"=SI")+SUMIFS(COMPRAS!CA:CA,COMPRAS!BX:BX,V187,COMPRAS!CS:CS,"=01-REGIMEN GENERAL",COMPRAS!CX:CX,"=SI",COMPRAS!DD:DD,"=SI")</f>
        <v>0</v>
      </c>
      <c r="AF187" s="954"/>
      <c r="AG187" s="954"/>
      <c r="AH187" s="954"/>
      <c r="AI187" s="206"/>
    </row>
    <row r="188" spans="1:35" ht="21" hidden="1" customHeight="1" outlineLevel="2" x14ac:dyDescent="0.35">
      <c r="A188" s="988"/>
      <c r="B188" s="989"/>
      <c r="C188" s="997"/>
      <c r="D188" s="15"/>
      <c r="E188" s="15"/>
      <c r="F188" s="15"/>
      <c r="G188" s="15"/>
      <c r="H188" s="15"/>
      <c r="I188" s="15"/>
      <c r="J188" s="15"/>
      <c r="K188" s="15"/>
      <c r="L188" s="15"/>
      <c r="M188" s="15"/>
      <c r="N188" s="15"/>
      <c r="O188" s="15"/>
      <c r="P188" s="15"/>
      <c r="Q188" s="15"/>
      <c r="R188" s="15"/>
      <c r="S188" s="15"/>
      <c r="T188" s="15"/>
      <c r="U188" s="229" t="s">
        <v>208</v>
      </c>
      <c r="V188" s="272">
        <v>514</v>
      </c>
      <c r="W188" s="225"/>
      <c r="X188" s="953">
        <f>SUMIFS(COMPRAS!BG:BG,COMPRAS!BF:BF,V188,COMPRAS!CS:CS,"=01-REGIMEN GENERAL",COMPRAS!CX:CX,"=SI",COMPRAS!DD:DD,"=SI")+SUMIFS(COMPRAS!BP:BP,COMPRAS!BO:BO,V188,COMPRAS!CS:CS,"=01-REGIMEN GENERAL",COMPRAS!CX:CX,"=SI",COMPRAS!DD:DD,"=SI")+SUMIFS(COMPRAS!BY:BY,COMPRAS!BX:BX,V188,COMPRAS!CS:CS,"=01-REGIMEN GENERAL",COMPRAS!CX:CX,"=SI",COMPRAS!DD:DD,"=SI")</f>
        <v>0</v>
      </c>
      <c r="Y188" s="954"/>
      <c r="Z188" s="954"/>
      <c r="AA188" s="954"/>
      <c r="AB188" s="224"/>
      <c r="AC188" s="52"/>
      <c r="AD188" s="227"/>
      <c r="AE188" s="953">
        <f>SUMIFS(COMPRAS!BI:BI,COMPRAS!BF:BF,V188,COMPRAS!CS:CS,"=01-REGIMEN GENERAL",COMPRAS!CX:CX,"=SI",COMPRAS!DD:DD,"=SI")+SUMIFS(COMPRAS!BR:BR,COMPRAS!BO:BO,V188,COMPRAS!CS:CS,"=01-REGIMEN GENERAL",COMPRAS!CX:CX,"=SI",COMPRAS!DD:DD,"=SI")+SUMIFS(COMPRAS!CA:CA,COMPRAS!BX:BX,V188,COMPRAS!CS:CS,"=01-REGIMEN GENERAL",COMPRAS!CX:CX,"=SI",COMPRAS!DD:DD,"=SI")</f>
        <v>0</v>
      </c>
      <c r="AF188" s="954"/>
      <c r="AG188" s="954"/>
      <c r="AH188" s="954"/>
      <c r="AI188" s="206"/>
    </row>
    <row r="189" spans="1:35" ht="21" hidden="1" customHeight="1" outlineLevel="2" x14ac:dyDescent="0.35">
      <c r="A189" s="988"/>
      <c r="B189" s="989"/>
      <c r="C189" s="997"/>
      <c r="D189" s="15"/>
      <c r="E189" s="15"/>
      <c r="F189" s="15"/>
      <c r="G189" s="15"/>
      <c r="H189" s="15"/>
      <c r="I189" s="15"/>
      <c r="J189" s="15"/>
      <c r="K189" s="15"/>
      <c r="L189" s="15"/>
      <c r="M189" s="15"/>
      <c r="N189" s="15"/>
      <c r="O189" s="15"/>
      <c r="P189" s="15"/>
      <c r="Q189" s="15"/>
      <c r="R189" s="15"/>
      <c r="S189" s="15"/>
      <c r="T189" s="15"/>
      <c r="U189" s="229" t="s">
        <v>209</v>
      </c>
      <c r="V189" s="272">
        <v>515</v>
      </c>
      <c r="W189" s="225"/>
      <c r="X189" s="953">
        <f>SUMIFS(COMPRAS!BG:BG,COMPRAS!BF:BF,V189,COMPRAS!CS:CS,"=01-REGIMEN GENERAL",COMPRAS!CX:CX,"=SI",COMPRAS!DD:DD,"=SI")+SUMIFS(COMPRAS!BP:BP,COMPRAS!BO:BO,V189,COMPRAS!CS:CS,"=01-REGIMEN GENERAL",COMPRAS!CX:CX,"=SI",COMPRAS!DD:DD,"=SI")+SUMIFS(COMPRAS!BY:BY,COMPRAS!BX:BX,V189,COMPRAS!CS:CS,"=01-REGIMEN GENERAL",COMPRAS!CX:CX,"=SI",COMPRAS!DD:DD,"=SI")</f>
        <v>0</v>
      </c>
      <c r="Y189" s="954"/>
      <c r="Z189" s="954"/>
      <c r="AA189" s="954"/>
      <c r="AB189" s="224"/>
      <c r="AC189" s="52"/>
      <c r="AD189" s="227"/>
      <c r="AE189" s="953">
        <f>SUMIFS(COMPRAS!BI:BI,COMPRAS!BF:BF,V189,COMPRAS!CS:CS,"=01-REGIMEN GENERAL",COMPRAS!CX:CX,"=SI",COMPRAS!DD:DD,"=SI")+SUMIFS(COMPRAS!BR:BR,COMPRAS!BO:BO,V189,COMPRAS!CS:CS,"=01-REGIMEN GENERAL",COMPRAS!CX:CX,"=SI",COMPRAS!DD:DD,"=SI")+SUMIFS(COMPRAS!CA:CA,COMPRAS!BX:BX,V189,COMPRAS!CS:CS,"=01-REGIMEN GENERAL",COMPRAS!CX:CX,"=SI",COMPRAS!DD:DD,"=SI")</f>
        <v>0</v>
      </c>
      <c r="AF189" s="954"/>
      <c r="AG189" s="954"/>
      <c r="AH189" s="954"/>
      <c r="AI189" s="206"/>
    </row>
    <row r="190" spans="1:35" ht="21" hidden="1" customHeight="1" outlineLevel="2" x14ac:dyDescent="0.35">
      <c r="A190" s="988"/>
      <c r="B190" s="989"/>
      <c r="C190" s="997"/>
      <c r="D190" s="15"/>
      <c r="E190" s="15"/>
      <c r="F190" s="15"/>
      <c r="G190" s="15"/>
      <c r="H190" s="15"/>
      <c r="I190" s="15"/>
      <c r="J190" s="15"/>
      <c r="K190" s="15"/>
      <c r="L190" s="15"/>
      <c r="M190" s="15"/>
      <c r="N190" s="15"/>
      <c r="O190" s="15"/>
      <c r="P190" s="15"/>
      <c r="Q190" s="15"/>
      <c r="R190" s="15"/>
      <c r="S190" s="15"/>
      <c r="T190" s="15"/>
      <c r="U190" s="229" t="s">
        <v>210</v>
      </c>
      <c r="V190" s="272">
        <v>516</v>
      </c>
      <c r="W190" s="225"/>
      <c r="X190" s="953">
        <f>SUMIFS(COMPRAS!BG:BG,COMPRAS!BF:BF,V190,COMPRAS!CS:CS,"=01-REGIMEN GENERAL",COMPRAS!CX:CX,"=SI",COMPRAS!DD:DD,"=SI")+SUMIFS(COMPRAS!BP:BP,COMPRAS!BO:BO,V190,COMPRAS!CS:CS,"=01-REGIMEN GENERAL",COMPRAS!CX:CX,"=SI",COMPRAS!DD:DD,"=SI")+SUMIFS(COMPRAS!BY:BY,COMPRAS!BX:BX,V190,COMPRAS!CS:CS,"=01-REGIMEN GENERAL",COMPRAS!CX:CX,"=SI",COMPRAS!DD:DD,"=SI")</f>
        <v>0</v>
      </c>
      <c r="Y190" s="954"/>
      <c r="Z190" s="954"/>
      <c r="AA190" s="954"/>
      <c r="AB190" s="224"/>
      <c r="AC190" s="52"/>
      <c r="AD190" s="227"/>
      <c r="AE190" s="953">
        <f>SUMIFS(COMPRAS!BI:BI,COMPRAS!BF:BF,V190,COMPRAS!CS:CS,"=01-REGIMEN GENERAL",COMPRAS!CX:CX,"=SI",COMPRAS!DD:DD,"=SI")+SUMIFS(COMPRAS!BR:BR,COMPRAS!BO:BO,V190,COMPRAS!CS:CS,"=01-REGIMEN GENERAL",COMPRAS!CX:CX,"=SI",COMPRAS!DD:DD,"=SI")+SUMIFS(COMPRAS!CA:CA,COMPRAS!BX:BX,V190,COMPRAS!CS:CS,"=01-REGIMEN GENERAL",COMPRAS!CX:CX,"=SI",COMPRAS!DD:DD,"=SI")</f>
        <v>0</v>
      </c>
      <c r="AF190" s="954"/>
      <c r="AG190" s="954"/>
      <c r="AH190" s="954"/>
      <c r="AI190" s="206"/>
    </row>
    <row r="191" spans="1:35" ht="21" hidden="1" customHeight="1" outlineLevel="2" x14ac:dyDescent="0.35">
      <c r="A191" s="988"/>
      <c r="B191" s="989"/>
      <c r="C191" s="997"/>
      <c r="D191" s="15"/>
      <c r="E191" s="15"/>
      <c r="F191" s="15"/>
      <c r="G191" s="15"/>
      <c r="H191" s="15"/>
      <c r="I191" s="15"/>
      <c r="J191" s="15"/>
      <c r="K191" s="15"/>
      <c r="L191" s="15"/>
      <c r="M191" s="15"/>
      <c r="N191" s="15"/>
      <c r="O191" s="15"/>
      <c r="P191" s="15"/>
      <c r="Q191" s="15"/>
      <c r="R191" s="15"/>
      <c r="S191" s="15"/>
      <c r="T191" s="15"/>
      <c r="U191" s="229" t="s">
        <v>211</v>
      </c>
      <c r="V191" s="272">
        <v>517</v>
      </c>
      <c r="W191" s="225"/>
      <c r="X191" s="953">
        <f>SUMIFS(COMPRAS!BG:BG,COMPRAS!BF:BF,V191,COMPRAS!CS:CS,"=01-REGIMEN GENERAL",COMPRAS!CX:CX,"=SI",COMPRAS!DD:DD,"=SI")+SUMIFS(COMPRAS!BP:BP,COMPRAS!BO:BO,V191,COMPRAS!CS:CS,"=01-REGIMEN GENERAL",COMPRAS!CX:CX,"=SI",COMPRAS!DD:DD,"=SI")+SUMIFS(COMPRAS!BY:BY,COMPRAS!BX:BX,V191,COMPRAS!CS:CS,"=01-REGIMEN GENERAL",COMPRAS!CX:CX,"=SI",COMPRAS!DD:DD,"=SI")</f>
        <v>0</v>
      </c>
      <c r="Y191" s="954"/>
      <c r="Z191" s="954"/>
      <c r="AA191" s="954"/>
      <c r="AB191" s="224"/>
      <c r="AC191" s="52"/>
      <c r="AD191" s="227"/>
      <c r="AE191" s="953">
        <f>SUMIFS(COMPRAS!BI:BI,COMPRAS!BF:BF,V191,COMPRAS!CS:CS,"=01-REGIMEN GENERAL",COMPRAS!CX:CX,"=SI",COMPRAS!DD:DD,"=SI")+SUMIFS(COMPRAS!BR:BR,COMPRAS!BO:BO,V191,COMPRAS!CS:CS,"=01-REGIMEN GENERAL",COMPRAS!CX:CX,"=SI",COMPRAS!DD:DD,"=SI")+SUMIFS(COMPRAS!CA:CA,COMPRAS!BX:BX,V191,COMPRAS!CS:CS,"=01-REGIMEN GENERAL",COMPRAS!CX:CX,"=SI",COMPRAS!DD:DD,"=SI")</f>
        <v>0</v>
      </c>
      <c r="AF191" s="954"/>
      <c r="AG191" s="954"/>
      <c r="AH191" s="954"/>
      <c r="AI191" s="206"/>
    </row>
    <row r="192" spans="1:35" ht="21" hidden="1" customHeight="1" outlineLevel="2" x14ac:dyDescent="0.35">
      <c r="A192" s="988"/>
      <c r="B192" s="989"/>
      <c r="C192" s="997"/>
      <c r="D192" s="15"/>
      <c r="E192" s="15"/>
      <c r="F192" s="15"/>
      <c r="G192" s="15"/>
      <c r="H192" s="15"/>
      <c r="I192" s="15"/>
      <c r="J192" s="15"/>
      <c r="K192" s="15"/>
      <c r="L192" s="15"/>
      <c r="M192" s="15"/>
      <c r="N192" s="15"/>
      <c r="O192" s="15"/>
      <c r="P192" s="15"/>
      <c r="Q192" s="15"/>
      <c r="R192" s="15"/>
      <c r="S192" s="15"/>
      <c r="T192" s="15"/>
      <c r="U192" s="229" t="s">
        <v>212</v>
      </c>
      <c r="V192" s="272">
        <v>518</v>
      </c>
      <c r="W192" s="225"/>
      <c r="X192" s="953">
        <f>SUMIFS(COMPRAS!BG:BG,COMPRAS!BF:BF,V192,COMPRAS!CS:CS,"=01-REGIMEN GENERAL",COMPRAS!CX:CX,"=SI",COMPRAS!DD:DD,"=SI")+SUMIFS(COMPRAS!BP:BP,COMPRAS!BO:BO,V192,COMPRAS!CS:CS,"=01-REGIMEN GENERAL",COMPRAS!CX:CX,"=SI",COMPRAS!DD:DD,"=SI")+SUMIFS(COMPRAS!BY:BY,COMPRAS!BX:BX,V192,COMPRAS!CS:CS,"=01-REGIMEN GENERAL",COMPRAS!CX:CX,"=SI",COMPRAS!DD:DD,"=SI")</f>
        <v>0</v>
      </c>
      <c r="Y192" s="954"/>
      <c r="Z192" s="954"/>
      <c r="AA192" s="954"/>
      <c r="AB192" s="224"/>
      <c r="AC192" s="52"/>
      <c r="AD192" s="227"/>
      <c r="AE192" s="953">
        <f>SUMIFS(COMPRAS!BI:BI,COMPRAS!BF:BF,V192,COMPRAS!CS:CS,"=01-REGIMEN GENERAL",COMPRAS!CX:CX,"=SI",COMPRAS!DD:DD,"=SI")+SUMIFS(COMPRAS!BR:BR,COMPRAS!BO:BO,V192,COMPRAS!CS:CS,"=01-REGIMEN GENERAL",COMPRAS!CX:CX,"=SI",COMPRAS!DD:DD,"=SI")+SUMIFS(COMPRAS!CA:CA,COMPRAS!BX:BX,V192,COMPRAS!CS:CS,"=01-REGIMEN GENERAL",COMPRAS!CX:CX,"=SI",COMPRAS!DD:DD,"=SI")</f>
        <v>0</v>
      </c>
      <c r="AF192" s="954"/>
      <c r="AG192" s="954"/>
      <c r="AH192" s="954"/>
      <c r="AI192" s="206"/>
    </row>
    <row r="193" spans="1:35" ht="21" hidden="1" customHeight="1" outlineLevel="2" x14ac:dyDescent="0.35">
      <c r="A193" s="988"/>
      <c r="B193" s="989"/>
      <c r="C193" s="997"/>
      <c r="D193" s="15"/>
      <c r="E193" s="15"/>
      <c r="F193" s="15"/>
      <c r="G193" s="15"/>
      <c r="H193" s="15"/>
      <c r="I193" s="15"/>
      <c r="J193" s="15"/>
      <c r="K193" s="15"/>
      <c r="L193" s="15"/>
      <c r="M193" s="15"/>
      <c r="N193" s="15"/>
      <c r="O193" s="15"/>
      <c r="P193" s="15"/>
      <c r="Q193" s="15"/>
      <c r="R193" s="15"/>
      <c r="S193" s="15"/>
      <c r="T193" s="15"/>
      <c r="U193" s="229" t="s">
        <v>213</v>
      </c>
      <c r="V193" s="272">
        <v>519</v>
      </c>
      <c r="W193" s="225"/>
      <c r="X193" s="953">
        <f>SUMIFS(COMPRAS!BG:BG,COMPRAS!BF:BF,V193,COMPRAS!CS:CS,"=01-REGIMEN GENERAL",COMPRAS!CX:CX,"=SI",COMPRAS!DD:DD,"=SI")+SUMIFS(COMPRAS!BP:BP,COMPRAS!BO:BO,V193,COMPRAS!CS:CS,"=01-REGIMEN GENERAL",COMPRAS!CX:CX,"=SI",COMPRAS!DD:DD,"=SI")+SUMIFS(COMPRAS!BY:BY,COMPRAS!BX:BX,V193,COMPRAS!CS:CS,"=01-REGIMEN GENERAL",COMPRAS!CX:CX,"=SI",COMPRAS!DD:DD,"=SI")</f>
        <v>0</v>
      </c>
      <c r="Y193" s="954"/>
      <c r="Z193" s="954"/>
      <c r="AA193" s="954"/>
      <c r="AB193" s="224"/>
      <c r="AC193" s="52"/>
      <c r="AD193" s="227"/>
      <c r="AE193" s="953">
        <f>SUMIFS(COMPRAS!BI:BI,COMPRAS!BF:BF,V193,COMPRAS!CS:CS,"=01-REGIMEN GENERAL",COMPRAS!CX:CX,"=SI",COMPRAS!DD:DD,"=SI")+SUMIFS(COMPRAS!BR:BR,COMPRAS!BO:BO,V193,COMPRAS!CS:CS,"=01-REGIMEN GENERAL",COMPRAS!CX:CX,"=SI",COMPRAS!DD:DD,"=SI")+SUMIFS(COMPRAS!CA:CA,COMPRAS!BX:BX,V193,COMPRAS!CS:CS,"=01-REGIMEN GENERAL",COMPRAS!CX:CX,"=SI",COMPRAS!DD:DD,"=SI")</f>
        <v>0</v>
      </c>
      <c r="AF193" s="954"/>
      <c r="AG193" s="954"/>
      <c r="AH193" s="954"/>
      <c r="AI193" s="206"/>
    </row>
    <row r="194" spans="1:35" ht="21" hidden="1" customHeight="1" outlineLevel="2" x14ac:dyDescent="0.35">
      <c r="A194" s="988"/>
      <c r="B194" s="989"/>
      <c r="C194" s="997"/>
      <c r="D194" s="15"/>
      <c r="E194" s="15"/>
      <c r="F194" s="15"/>
      <c r="G194" s="15"/>
      <c r="H194" s="15"/>
      <c r="I194" s="15"/>
      <c r="J194" s="15"/>
      <c r="K194" s="15"/>
      <c r="L194" s="15"/>
      <c r="M194" s="15"/>
      <c r="N194" s="15"/>
      <c r="O194" s="15"/>
      <c r="P194" s="15"/>
      <c r="Q194" s="15"/>
      <c r="R194" s="15"/>
      <c r="S194" s="15"/>
      <c r="T194" s="15"/>
      <c r="U194" s="229" t="s">
        <v>1070</v>
      </c>
      <c r="V194" s="272">
        <v>525</v>
      </c>
      <c r="W194" s="225"/>
      <c r="X194" s="953">
        <f>SUMIFS(COMPRAS!BG:BG,COMPRAS!BF:BF,V194,COMPRAS!CS:CS,"=01-REGIMEN GENERAL",COMPRAS!CX:CX,"=SI",COMPRAS!DD:DD,"=SI")+SUMIFS(COMPRAS!BP:BP,COMPRAS!BO:BO,V194,COMPRAS!CS:CS,"=01-REGIMEN GENERAL",COMPRAS!CX:CX,"=SI",COMPRAS!DD:DD,"=SI")+SUMIFS(COMPRAS!BY:BY,COMPRAS!BX:BX,V194,COMPRAS!CS:CS,"=01-REGIMEN GENERAL",COMPRAS!CX:CX,"=SI",COMPRAS!DD:DD,"=SI")</f>
        <v>0</v>
      </c>
      <c r="Y194" s="954"/>
      <c r="Z194" s="954"/>
      <c r="AA194" s="954"/>
      <c r="AB194" s="224"/>
      <c r="AC194" s="52"/>
      <c r="AD194" s="227"/>
      <c r="AE194" s="953">
        <f>SUMIFS(COMPRAS!BI:BI,COMPRAS!BF:BF,V194,COMPRAS!CS:CS,"=01-REGIMEN GENERAL",COMPRAS!CX:CX,"=SI",COMPRAS!DD:DD,"=SI")+SUMIFS(COMPRAS!BR:BR,COMPRAS!BO:BO,V194,COMPRAS!CS:CS,"=01-REGIMEN GENERAL",COMPRAS!CX:CX,"=SI",COMPRAS!DD:DD,"=SI")+SUMIFS(COMPRAS!CA:CA,COMPRAS!BX:BX,V194,COMPRAS!CS:CS,"=01-REGIMEN GENERAL",COMPRAS!CX:CX,"=SI",COMPRAS!DD:DD,"=SI")</f>
        <v>0</v>
      </c>
      <c r="AF194" s="954"/>
      <c r="AG194" s="954"/>
      <c r="AH194" s="954"/>
      <c r="AI194" s="206"/>
    </row>
    <row r="195" spans="1:35" ht="21" hidden="1" customHeight="1" outlineLevel="2" x14ac:dyDescent="0.35">
      <c r="A195" s="988"/>
      <c r="B195" s="989"/>
      <c r="C195" s="997"/>
      <c r="D195" s="15"/>
      <c r="E195" s="15"/>
      <c r="F195" s="15"/>
      <c r="G195" s="15"/>
      <c r="H195" s="15"/>
      <c r="I195" s="15"/>
      <c r="J195" s="15"/>
      <c r="K195" s="15"/>
      <c r="L195" s="15"/>
      <c r="M195" s="15"/>
      <c r="N195" s="15"/>
      <c r="O195" s="15"/>
      <c r="P195" s="15"/>
      <c r="Q195" s="15"/>
      <c r="R195" s="15"/>
      <c r="S195" s="15"/>
      <c r="T195" s="15"/>
      <c r="U195" s="229" t="s">
        <v>196</v>
      </c>
      <c r="V195" s="272" t="s">
        <v>195</v>
      </c>
      <c r="W195" s="225"/>
      <c r="X195" s="953">
        <f>SUMIFS(COMPRAS!BG:BG,COMPRAS!BF:BF,V195,COMPRAS!CS:CS,"=01-REGIMEN GENERAL",COMPRAS!CX:CX,"=SI",COMPRAS!DD:DD,"=SI")+SUMIFS(COMPRAS!BP:BP,COMPRAS!BO:BO,V195,COMPRAS!CS:CS,"=01-REGIMEN GENERAL",COMPRAS!CX:CX,"=SI",COMPRAS!DD:DD,"=SI")+SUMIFS(COMPRAS!BY:BY,COMPRAS!BX:BX,V195,COMPRAS!CS:CS,"=01-REGIMEN GENERAL",COMPRAS!CX:CX,"=SI",COMPRAS!DD:DD,"=SI")</f>
        <v>0</v>
      </c>
      <c r="Y195" s="954"/>
      <c r="Z195" s="954"/>
      <c r="AA195" s="954"/>
      <c r="AB195" s="224"/>
      <c r="AC195" s="52"/>
      <c r="AD195" s="227"/>
      <c r="AE195" s="953">
        <f>SUMIFS(COMPRAS!BI:BI,COMPRAS!BF:BF,V195,COMPRAS!CS:CS,"=01-REGIMEN GENERAL",COMPRAS!CX:CX,"=SI",COMPRAS!DD:DD,"=SI")+SUMIFS(COMPRAS!BR:BR,COMPRAS!BO:BO,V195,COMPRAS!CS:CS,"=01-REGIMEN GENERAL",COMPRAS!CX:CX,"=SI",COMPRAS!DD:DD,"=SI")+SUMIFS(COMPRAS!CA:CA,COMPRAS!BX:BX,V195,COMPRAS!CS:CS,"=01-REGIMEN GENERAL",COMPRAS!CX:CX,"=SI",COMPRAS!DD:DD,"=SI")</f>
        <v>0</v>
      </c>
      <c r="AF195" s="954"/>
      <c r="AG195" s="954"/>
      <c r="AH195" s="954"/>
      <c r="AI195" s="206"/>
    </row>
    <row r="196" spans="1:35" ht="21" hidden="1" customHeight="1" outlineLevel="2" x14ac:dyDescent="0.35">
      <c r="A196" s="988"/>
      <c r="B196" s="989"/>
      <c r="C196" s="997"/>
      <c r="D196" s="15"/>
      <c r="E196" s="15"/>
      <c r="F196" s="15"/>
      <c r="G196" s="15"/>
      <c r="H196" s="15"/>
      <c r="I196" s="15"/>
      <c r="J196" s="15"/>
      <c r="K196" s="15"/>
      <c r="L196" s="15"/>
      <c r="M196" s="15"/>
      <c r="N196" s="15"/>
      <c r="O196" s="15"/>
      <c r="P196" s="15"/>
      <c r="Q196" s="15"/>
      <c r="R196" s="15"/>
      <c r="S196" s="15"/>
      <c r="T196" s="15"/>
      <c r="U196" s="229" t="s">
        <v>198</v>
      </c>
      <c r="V196" s="272" t="s">
        <v>197</v>
      </c>
      <c r="W196" s="225"/>
      <c r="X196" s="953">
        <f>SUMIFS(COMPRAS!BG:BG,COMPRAS!BF:BF,V196,COMPRAS!CS:CS,"=01-REGIMEN GENERAL",COMPRAS!CX:CX,"=SI",COMPRAS!DD:DD,"=SI")+SUMIFS(COMPRAS!BP:BP,COMPRAS!BO:BO,V196,COMPRAS!CS:CS,"=01-REGIMEN GENERAL",COMPRAS!CX:CX,"=SI",COMPRAS!DD:DD,"=SI")+SUMIFS(COMPRAS!BY:BY,COMPRAS!BX:BX,V196,COMPRAS!CS:CS,"=01-REGIMEN GENERAL",COMPRAS!CX:CX,"=SI",COMPRAS!DD:DD,"=SI")</f>
        <v>0</v>
      </c>
      <c r="Y196" s="954"/>
      <c r="Z196" s="954"/>
      <c r="AA196" s="954"/>
      <c r="AB196" s="224"/>
      <c r="AC196" s="52"/>
      <c r="AD196" s="227"/>
      <c r="AE196" s="953">
        <f>SUMIFS(COMPRAS!BI:BI,COMPRAS!BF:BF,V196,COMPRAS!CS:CS,"=01-REGIMEN GENERAL",COMPRAS!CX:CX,"=SI",COMPRAS!DD:DD,"=SI")+SUMIFS(COMPRAS!BR:BR,COMPRAS!BO:BO,V196,COMPRAS!CS:CS,"=01-REGIMEN GENERAL",COMPRAS!CX:CX,"=SI",COMPRAS!DD:DD,"=SI")+SUMIFS(COMPRAS!CA:CA,COMPRAS!BX:BX,V196,COMPRAS!CS:CS,"=01-REGIMEN GENERAL",COMPRAS!CX:CX,"=SI",COMPRAS!DD:DD,"=SI")</f>
        <v>0</v>
      </c>
      <c r="AF196" s="954"/>
      <c r="AG196" s="954"/>
      <c r="AH196" s="954"/>
      <c r="AI196" s="206"/>
    </row>
    <row r="197" spans="1:35" ht="21" hidden="1" customHeight="1" outlineLevel="2" x14ac:dyDescent="0.35">
      <c r="A197" s="988"/>
      <c r="B197" s="989"/>
      <c r="C197" s="997"/>
      <c r="D197" s="15"/>
      <c r="E197" s="15"/>
      <c r="F197" s="15"/>
      <c r="G197" s="15"/>
      <c r="H197" s="15"/>
      <c r="I197" s="15"/>
      <c r="J197" s="15"/>
      <c r="K197" s="15"/>
      <c r="L197" s="15"/>
      <c r="M197" s="15"/>
      <c r="N197" s="15"/>
      <c r="O197" s="15"/>
      <c r="P197" s="15"/>
      <c r="Q197" s="15"/>
      <c r="R197" s="15"/>
      <c r="S197" s="15"/>
      <c r="T197" s="15"/>
      <c r="U197" s="229" t="s">
        <v>201</v>
      </c>
      <c r="V197" s="272" t="s">
        <v>200</v>
      </c>
      <c r="W197" s="225"/>
      <c r="X197" s="953">
        <f>SUMIFS(COMPRAS!BG:BG,COMPRAS!BF:BF,V197,COMPRAS!CS:CS,"=01-REGIMEN GENERAL",COMPRAS!CX:CX,"=SI",COMPRAS!DD:DD,"=SI")+SUMIFS(COMPRAS!BP:BP,COMPRAS!BO:BO,V197,COMPRAS!CS:CS,"=01-REGIMEN GENERAL",COMPRAS!CX:CX,"=SI",COMPRAS!DD:DD,"=SI")+SUMIFS(COMPRAS!BY:BY,COMPRAS!BX:BX,V197,COMPRAS!CS:CS,"=01-REGIMEN GENERAL",COMPRAS!CX:CX,"=SI",COMPRAS!DD:DD,"=SI")</f>
        <v>0</v>
      </c>
      <c r="Y197" s="954"/>
      <c r="Z197" s="954"/>
      <c r="AA197" s="954"/>
      <c r="AB197" s="224"/>
      <c r="AC197" s="52"/>
      <c r="AD197" s="227"/>
      <c r="AE197" s="953">
        <f>SUMIFS(COMPRAS!BI:BI,COMPRAS!BF:BF,V197,COMPRAS!CS:CS,"=01-REGIMEN GENERAL",COMPRAS!CX:CX,"=SI",COMPRAS!DD:DD,"=SI")+SUMIFS(COMPRAS!BR:BR,COMPRAS!BO:BO,V197,COMPRAS!CS:CS,"=01-REGIMEN GENERAL",COMPRAS!CX:CX,"=SI",COMPRAS!DD:DD,"=SI")+SUMIFS(COMPRAS!CA:CA,COMPRAS!BX:BX,V197,COMPRAS!CS:CS,"=01-REGIMEN GENERAL",COMPRAS!CX:CX,"=SI",COMPRAS!DD:DD,"=SI")</f>
        <v>0</v>
      </c>
      <c r="AF197" s="954"/>
      <c r="AG197" s="954"/>
      <c r="AH197" s="954"/>
      <c r="AI197" s="206"/>
    </row>
    <row r="198" spans="1:35" ht="21" hidden="1" customHeight="1" outlineLevel="2" x14ac:dyDescent="0.35">
      <c r="A198" s="988"/>
      <c r="B198" s="989"/>
      <c r="C198" s="997"/>
      <c r="D198" s="15"/>
      <c r="E198" s="15"/>
      <c r="F198" s="15"/>
      <c r="G198" s="15"/>
      <c r="H198" s="15"/>
      <c r="I198" s="15"/>
      <c r="J198" s="15"/>
      <c r="K198" s="15"/>
      <c r="L198" s="15"/>
      <c r="M198" s="15"/>
      <c r="N198" s="15"/>
      <c r="O198" s="15"/>
      <c r="P198" s="15"/>
      <c r="Q198" s="15"/>
      <c r="R198" s="15"/>
      <c r="S198" s="15"/>
      <c r="T198" s="15"/>
      <c r="U198" s="229" t="s">
        <v>207</v>
      </c>
      <c r="V198" s="272" t="s">
        <v>206</v>
      </c>
      <c r="W198" s="225"/>
      <c r="X198" s="953">
        <f>SUMIFS(COMPRAS!BG:BG,COMPRAS!BF:BF,V198,COMPRAS!CS:CS,"=01-REGIMEN GENERAL",COMPRAS!CX:CX,"=SI",COMPRAS!DD:DD,"=SI")+SUMIFS(COMPRAS!BP:BP,COMPRAS!BO:BO,V198,COMPRAS!CS:CS,"=01-REGIMEN GENERAL",COMPRAS!CX:CX,"=SI",COMPRAS!DD:DD,"=SI")+SUMIFS(COMPRAS!BY:BY,COMPRAS!BX:BX,V198,COMPRAS!CS:CS,"=01-REGIMEN GENERAL",COMPRAS!CX:CX,"=SI",COMPRAS!DD:DD,"=SI")</f>
        <v>0</v>
      </c>
      <c r="Y198" s="954"/>
      <c r="Z198" s="954"/>
      <c r="AA198" s="954"/>
      <c r="AB198" s="224"/>
      <c r="AC198" s="52"/>
      <c r="AD198" s="227"/>
      <c r="AE198" s="953">
        <f>SUMIFS(COMPRAS!BI:BI,COMPRAS!BF:BF,V198,COMPRAS!CS:CS,"=01-REGIMEN GENERAL",COMPRAS!CX:CX,"=SI",COMPRAS!DD:DD,"=SI")+SUMIFS(COMPRAS!BR:BR,COMPRAS!BO:BO,V198,COMPRAS!CS:CS,"=01-REGIMEN GENERAL",COMPRAS!CX:CX,"=SI",COMPRAS!DD:DD,"=SI")+SUMIFS(COMPRAS!CA:CA,COMPRAS!BX:BX,V198,COMPRAS!CS:CS,"=01-REGIMEN GENERAL",COMPRAS!CX:CX,"=SI",COMPRAS!DD:DD,"=SI")</f>
        <v>0</v>
      </c>
      <c r="AF198" s="954"/>
      <c r="AG198" s="954"/>
      <c r="AH198" s="954"/>
      <c r="AI198" s="206"/>
    </row>
    <row r="199" spans="1:35" ht="21" hidden="1" customHeight="1" outlineLevel="2" x14ac:dyDescent="0.35">
      <c r="A199" s="988"/>
      <c r="B199" s="989"/>
      <c r="C199" s="997"/>
      <c r="D199" s="15"/>
      <c r="E199" s="15"/>
      <c r="F199" s="15"/>
      <c r="G199" s="15"/>
      <c r="H199" s="15"/>
      <c r="I199" s="15"/>
      <c r="J199" s="15"/>
      <c r="K199" s="15"/>
      <c r="L199" s="15"/>
      <c r="M199" s="15"/>
      <c r="N199" s="15"/>
      <c r="O199" s="15"/>
      <c r="P199" s="15"/>
      <c r="Q199" s="15"/>
      <c r="R199" s="15"/>
      <c r="S199" s="15"/>
      <c r="T199" s="15"/>
      <c r="U199" s="229" t="s">
        <v>215</v>
      </c>
      <c r="V199" s="272" t="s">
        <v>214</v>
      </c>
      <c r="W199" s="225"/>
      <c r="X199" s="953">
        <f>SUMIFS(COMPRAS!BG:BG,COMPRAS!BF:BF,V199,COMPRAS!CS:CS,"=01-REGIMEN GENERAL",COMPRAS!CX:CX,"=SI",COMPRAS!DD:DD,"=SI")+SUMIFS(COMPRAS!BP:BP,COMPRAS!BO:BO,V199,COMPRAS!CS:CS,"=01-REGIMEN GENERAL",COMPRAS!CX:CX,"=SI",COMPRAS!DD:DD,"=SI")+SUMIFS(COMPRAS!BY:BY,COMPRAS!BX:BX,V199,COMPRAS!CS:CS,"=01-REGIMEN GENERAL",COMPRAS!CX:CX,"=SI",COMPRAS!DD:DD,"=SI")</f>
        <v>0</v>
      </c>
      <c r="Y199" s="954"/>
      <c r="Z199" s="954"/>
      <c r="AA199" s="954"/>
      <c r="AB199" s="224"/>
      <c r="AC199" s="52"/>
      <c r="AD199" s="227"/>
      <c r="AE199" s="953">
        <f>SUMIFS(COMPRAS!BI:BI,COMPRAS!BF:BF,V199,COMPRAS!CS:CS,"=01-REGIMEN GENERAL",COMPRAS!CX:CX,"=SI",COMPRAS!DD:DD,"=SI")+SUMIFS(COMPRAS!BR:BR,COMPRAS!BO:BO,V199,COMPRAS!CS:CS,"=01-REGIMEN GENERAL",COMPRAS!CX:CX,"=SI",COMPRAS!DD:DD,"=SI")+SUMIFS(COMPRAS!CA:CA,COMPRAS!BX:BX,V199,COMPRAS!CS:CS,"=01-REGIMEN GENERAL",COMPRAS!CX:CX,"=SI",COMPRAS!DD:DD,"=SI")</f>
        <v>0</v>
      </c>
      <c r="AF199" s="954"/>
      <c r="AG199" s="954"/>
      <c r="AH199" s="954"/>
      <c r="AI199" s="206"/>
    </row>
    <row r="200" spans="1:35" ht="21" hidden="1" customHeight="1" outlineLevel="2" x14ac:dyDescent="0.35">
      <c r="A200" s="988"/>
      <c r="B200" s="989"/>
      <c r="C200" s="997"/>
      <c r="D200" s="15"/>
      <c r="E200" s="15"/>
      <c r="F200" s="15"/>
      <c r="G200" s="15"/>
      <c r="H200" s="15"/>
      <c r="I200" s="15"/>
      <c r="J200" s="15"/>
      <c r="K200" s="15"/>
      <c r="L200" s="15"/>
      <c r="M200" s="15"/>
      <c r="N200" s="15"/>
      <c r="O200" s="15"/>
      <c r="P200" s="15"/>
      <c r="Q200" s="15"/>
      <c r="R200" s="15"/>
      <c r="S200" s="15"/>
      <c r="T200" s="15"/>
      <c r="U200" s="229" t="s">
        <v>217</v>
      </c>
      <c r="V200" s="272" t="s">
        <v>216</v>
      </c>
      <c r="W200" s="225"/>
      <c r="X200" s="953">
        <f>SUMIFS(COMPRAS!BG:BG,COMPRAS!BF:BF,V200,COMPRAS!CS:CS,"=01-REGIMEN GENERAL",COMPRAS!CX:CX,"=SI",COMPRAS!DD:DD,"=SI")+SUMIFS(COMPRAS!BP:BP,COMPRAS!BO:BO,V200,COMPRAS!CS:CS,"=01-REGIMEN GENERAL",COMPRAS!CX:CX,"=SI",COMPRAS!DD:DD,"=SI")+SUMIFS(COMPRAS!BY:BY,COMPRAS!BX:BX,V200,COMPRAS!CS:CS,"=01-REGIMEN GENERAL",COMPRAS!CX:CX,"=SI",COMPRAS!DD:DD,"=SI")</f>
        <v>0</v>
      </c>
      <c r="Y200" s="954"/>
      <c r="Z200" s="954"/>
      <c r="AA200" s="954"/>
      <c r="AB200" s="224"/>
      <c r="AC200" s="52"/>
      <c r="AD200" s="227"/>
      <c r="AE200" s="953">
        <f>SUMIFS(COMPRAS!BI:BI,COMPRAS!BF:BF,V200,COMPRAS!CS:CS,"=01-REGIMEN GENERAL",COMPRAS!CX:CX,"=SI",COMPRAS!DD:DD,"=SI")+SUMIFS(COMPRAS!BR:BR,COMPRAS!BO:BO,V200,COMPRAS!CS:CS,"=01-REGIMEN GENERAL",COMPRAS!CX:CX,"=SI",COMPRAS!DD:DD,"=SI")+SUMIFS(COMPRAS!CA:CA,COMPRAS!BX:BX,V200,COMPRAS!CS:CS,"=01-REGIMEN GENERAL",COMPRAS!CX:CX,"=SI",COMPRAS!DD:DD,"=SI")</f>
        <v>0</v>
      </c>
      <c r="AF200" s="954"/>
      <c r="AG200" s="954"/>
      <c r="AH200" s="954"/>
      <c r="AI200" s="206"/>
    </row>
    <row r="201" spans="1:35" ht="21" hidden="1" customHeight="1" outlineLevel="2" x14ac:dyDescent="0.35">
      <c r="A201" s="988"/>
      <c r="B201" s="989"/>
      <c r="C201" s="997"/>
      <c r="D201" s="15"/>
      <c r="E201" s="15"/>
      <c r="F201" s="15"/>
      <c r="G201" s="15"/>
      <c r="H201" s="15"/>
      <c r="I201" s="15"/>
      <c r="J201" s="15"/>
      <c r="K201" s="15"/>
      <c r="L201" s="15"/>
      <c r="M201" s="15"/>
      <c r="N201" s="15"/>
      <c r="O201" s="15"/>
      <c r="P201" s="15"/>
      <c r="Q201" s="15"/>
      <c r="R201" s="15"/>
      <c r="S201" s="15"/>
      <c r="T201" s="15"/>
      <c r="U201" s="229" t="s">
        <v>219</v>
      </c>
      <c r="V201" s="272" t="s">
        <v>218</v>
      </c>
      <c r="W201" s="225"/>
      <c r="X201" s="953">
        <f>SUMIFS(COMPRAS!BG:BG,COMPRAS!BF:BF,V201,COMPRAS!CS:CS,"=01-REGIMEN GENERAL",COMPRAS!CX:CX,"=SI",COMPRAS!DD:DD,"=SI")+SUMIFS(COMPRAS!BP:BP,COMPRAS!BO:BO,V201,COMPRAS!CS:CS,"=01-REGIMEN GENERAL",COMPRAS!CX:CX,"=SI",COMPRAS!DD:DD,"=SI")+SUMIFS(COMPRAS!BY:BY,COMPRAS!BX:BX,V201,COMPRAS!CS:CS,"=01-REGIMEN GENERAL",COMPRAS!CX:CX,"=SI",COMPRAS!DD:DD,"=SI")</f>
        <v>0</v>
      </c>
      <c r="Y201" s="954"/>
      <c r="Z201" s="954"/>
      <c r="AA201" s="954"/>
      <c r="AB201" s="224"/>
      <c r="AC201" s="52"/>
      <c r="AD201" s="227"/>
      <c r="AE201" s="953">
        <f>SUMIFS(COMPRAS!BI:BI,COMPRAS!BF:BF,V201,COMPRAS!CS:CS,"=01-REGIMEN GENERAL",COMPRAS!CX:CX,"=SI",COMPRAS!DD:DD,"=SI")+SUMIFS(COMPRAS!BR:BR,COMPRAS!BO:BO,V201,COMPRAS!CS:CS,"=01-REGIMEN GENERAL",COMPRAS!CX:CX,"=SI",COMPRAS!DD:DD,"=SI")+SUMIFS(COMPRAS!CA:CA,COMPRAS!BX:BX,V201,COMPRAS!CS:CS,"=01-REGIMEN GENERAL",COMPRAS!CX:CX,"=SI",COMPRAS!DD:DD,"=SI")</f>
        <v>0</v>
      </c>
      <c r="AF201" s="954"/>
      <c r="AG201" s="954"/>
      <c r="AH201" s="954"/>
      <c r="AI201" s="206"/>
    </row>
    <row r="202" spans="1:35" ht="21" hidden="1" customHeight="1" outlineLevel="2" x14ac:dyDescent="0.35">
      <c r="A202" s="988"/>
      <c r="B202" s="989"/>
      <c r="C202" s="997"/>
      <c r="D202" s="15"/>
      <c r="E202" s="15"/>
      <c r="F202" s="15"/>
      <c r="G202" s="15"/>
      <c r="H202" s="15"/>
      <c r="I202" s="15"/>
      <c r="J202" s="15"/>
      <c r="K202" s="15"/>
      <c r="L202" s="15"/>
      <c r="M202" s="15"/>
      <c r="N202" s="15"/>
      <c r="O202" s="15"/>
      <c r="P202" s="15"/>
      <c r="Q202" s="15"/>
      <c r="R202" s="15"/>
      <c r="S202" s="15"/>
      <c r="T202" s="15"/>
      <c r="U202" s="229" t="s">
        <v>221</v>
      </c>
      <c r="V202" s="272" t="s">
        <v>220</v>
      </c>
      <c r="W202" s="225"/>
      <c r="X202" s="953">
        <f>SUMIFS(COMPRAS!BG:BG,COMPRAS!BF:BF,V202,COMPRAS!CS:CS,"=01-REGIMEN GENERAL",COMPRAS!CX:CX,"=SI",COMPRAS!DD:DD,"=SI")+SUMIFS(COMPRAS!BP:BP,COMPRAS!BO:BO,V202,COMPRAS!CS:CS,"=01-REGIMEN GENERAL",COMPRAS!CX:CX,"=SI",COMPRAS!DD:DD,"=SI")+SUMIFS(COMPRAS!BY:BY,COMPRAS!BX:BX,V202,COMPRAS!CS:CS,"=01-REGIMEN GENERAL",COMPRAS!CX:CX,"=SI",COMPRAS!DD:DD,"=SI")</f>
        <v>0</v>
      </c>
      <c r="Y202" s="954"/>
      <c r="Z202" s="954"/>
      <c r="AA202" s="954"/>
      <c r="AB202" s="224"/>
      <c r="AC202" s="52"/>
      <c r="AD202" s="227"/>
      <c r="AE202" s="953">
        <f>SUMIFS(COMPRAS!BI:BI,COMPRAS!BF:BF,V202,COMPRAS!CS:CS,"=01-REGIMEN GENERAL",COMPRAS!CX:CX,"=SI",COMPRAS!DD:DD,"=SI")+SUMIFS(COMPRAS!BR:BR,COMPRAS!BO:BO,V202,COMPRAS!CS:CS,"=01-REGIMEN GENERAL",COMPRAS!CX:CX,"=SI",COMPRAS!DD:DD,"=SI")+SUMIFS(COMPRAS!CA:CA,COMPRAS!BX:BX,V202,COMPRAS!CS:CS,"=01-REGIMEN GENERAL",COMPRAS!CX:CX,"=SI",COMPRAS!DD:DD,"=SI")</f>
        <v>0</v>
      </c>
      <c r="AF202" s="954"/>
      <c r="AG202" s="954"/>
      <c r="AH202" s="954"/>
      <c r="AI202" s="206"/>
    </row>
    <row r="203" spans="1:35" ht="21" hidden="1" customHeight="1" outlineLevel="2" x14ac:dyDescent="0.35">
      <c r="A203" s="988"/>
      <c r="B203" s="989"/>
      <c r="C203" s="997"/>
      <c r="D203" s="15"/>
      <c r="E203" s="15"/>
      <c r="F203" s="15"/>
      <c r="G203" s="15"/>
      <c r="H203" s="15"/>
      <c r="I203" s="15"/>
      <c r="J203" s="15"/>
      <c r="K203" s="15"/>
      <c r="L203" s="15"/>
      <c r="M203" s="15"/>
      <c r="N203" s="15"/>
      <c r="O203" s="15"/>
      <c r="P203" s="15"/>
      <c r="Q203" s="15"/>
      <c r="R203" s="15"/>
      <c r="S203" s="15"/>
      <c r="T203" s="15"/>
      <c r="U203" s="229" t="s">
        <v>223</v>
      </c>
      <c r="V203" s="272" t="s">
        <v>222</v>
      </c>
      <c r="W203" s="225"/>
      <c r="X203" s="953">
        <f>SUMIFS(COMPRAS!BG:BG,COMPRAS!BF:BF,V203,COMPRAS!CS:CS,"=01-REGIMEN GENERAL",COMPRAS!CX:CX,"=SI",COMPRAS!DD:DD,"=SI")+SUMIFS(COMPRAS!BP:BP,COMPRAS!BO:BO,V203,COMPRAS!CS:CS,"=01-REGIMEN GENERAL",COMPRAS!CX:CX,"=SI",COMPRAS!DD:DD,"=SI")+SUMIFS(COMPRAS!BY:BY,COMPRAS!BX:BX,V203,COMPRAS!CS:CS,"=01-REGIMEN GENERAL",COMPRAS!CX:CX,"=SI",COMPRAS!DD:DD,"=SI")</f>
        <v>0</v>
      </c>
      <c r="Y203" s="954"/>
      <c r="Z203" s="954"/>
      <c r="AA203" s="954"/>
      <c r="AB203" s="224"/>
      <c r="AC203" s="52"/>
      <c r="AD203" s="227"/>
      <c r="AE203" s="953">
        <f>SUMIFS(COMPRAS!BI:BI,COMPRAS!BF:BF,V203,COMPRAS!CS:CS,"=01-REGIMEN GENERAL",COMPRAS!CX:CX,"=SI",COMPRAS!DD:DD,"=SI")+SUMIFS(COMPRAS!BR:BR,COMPRAS!BO:BO,V203,COMPRAS!CS:CS,"=01-REGIMEN GENERAL",COMPRAS!CX:CX,"=SI",COMPRAS!DD:DD,"=SI")+SUMIFS(COMPRAS!CA:CA,COMPRAS!BX:BX,V203,COMPRAS!CS:CS,"=01-REGIMEN GENERAL",COMPRAS!CX:CX,"=SI",COMPRAS!DD:DD,"=SI")</f>
        <v>0</v>
      </c>
      <c r="AF203" s="954"/>
      <c r="AG203" s="954"/>
      <c r="AH203" s="954"/>
      <c r="AI203" s="206"/>
    </row>
    <row r="204" spans="1:35" ht="21" hidden="1" customHeight="1" outlineLevel="2" x14ac:dyDescent="0.35">
      <c r="A204" s="988"/>
      <c r="B204" s="989"/>
      <c r="C204" s="997"/>
      <c r="D204" s="15"/>
      <c r="E204" s="15"/>
      <c r="F204" s="15"/>
      <c r="G204" s="15"/>
      <c r="H204" s="15"/>
      <c r="I204" s="15"/>
      <c r="J204" s="15"/>
      <c r="K204" s="15"/>
      <c r="L204" s="15"/>
      <c r="M204" s="15"/>
      <c r="N204" s="15"/>
      <c r="O204" s="15"/>
      <c r="P204" s="15"/>
      <c r="Q204" s="15"/>
      <c r="R204" s="15"/>
      <c r="S204" s="15"/>
      <c r="T204" s="15"/>
      <c r="U204" s="229" t="s">
        <v>225</v>
      </c>
      <c r="V204" s="272" t="s">
        <v>224</v>
      </c>
      <c r="W204" s="225"/>
      <c r="X204" s="953">
        <f>SUMIFS(COMPRAS!BG:BG,COMPRAS!BF:BF,V204,COMPRAS!CS:CS,"=01-REGIMEN GENERAL",COMPRAS!CX:CX,"=SI",COMPRAS!DD:DD,"=SI")+SUMIFS(COMPRAS!BP:BP,COMPRAS!BO:BO,V204,COMPRAS!CS:CS,"=01-REGIMEN GENERAL",COMPRAS!CX:CX,"=SI",COMPRAS!DD:DD,"=SI")+SUMIFS(COMPRAS!BY:BY,COMPRAS!BX:BX,V204,COMPRAS!CS:CS,"=01-REGIMEN GENERAL",COMPRAS!CX:CX,"=SI",COMPRAS!DD:DD,"=SI")</f>
        <v>0</v>
      </c>
      <c r="Y204" s="954"/>
      <c r="Z204" s="954"/>
      <c r="AA204" s="954"/>
      <c r="AB204" s="224"/>
      <c r="AC204" s="52"/>
      <c r="AD204" s="227"/>
      <c r="AE204" s="953">
        <f>SUMIFS(COMPRAS!BI:BI,COMPRAS!BF:BF,V204,COMPRAS!CS:CS,"=01-REGIMEN GENERAL",COMPRAS!CX:CX,"=SI",COMPRAS!DD:DD,"=SI")+SUMIFS(COMPRAS!BR:BR,COMPRAS!BO:BO,V204,COMPRAS!CS:CS,"=01-REGIMEN GENERAL",COMPRAS!CX:CX,"=SI",COMPRAS!DD:DD,"=SI")+SUMIFS(COMPRAS!CA:CA,COMPRAS!BX:BX,V204,COMPRAS!CS:CS,"=01-REGIMEN GENERAL",COMPRAS!CX:CX,"=SI",COMPRAS!DD:DD,"=SI")</f>
        <v>0</v>
      </c>
      <c r="AF204" s="954"/>
      <c r="AG204" s="954"/>
      <c r="AH204" s="954"/>
      <c r="AI204" s="206"/>
    </row>
    <row r="205" spans="1:35" ht="21" customHeight="1" outlineLevel="1" collapsed="1" thickBot="1" x14ac:dyDescent="0.4">
      <c r="A205" s="988"/>
      <c r="B205" s="989"/>
      <c r="C205" s="997"/>
      <c r="D205" s="15" t="s">
        <v>937</v>
      </c>
      <c r="E205" s="15"/>
      <c r="F205" s="15"/>
      <c r="G205" s="15"/>
      <c r="H205" s="15"/>
      <c r="I205" s="15"/>
      <c r="J205" s="15"/>
      <c r="K205" s="15"/>
      <c r="L205" s="15"/>
      <c r="M205" s="15"/>
      <c r="N205" s="15"/>
      <c r="O205" s="15"/>
      <c r="P205" s="15"/>
      <c r="Q205" s="15"/>
      <c r="R205" s="15"/>
      <c r="S205" s="15"/>
      <c r="T205" s="15"/>
      <c r="U205" s="130"/>
      <c r="V205" s="226">
        <v>412</v>
      </c>
      <c r="W205" s="225" t="s">
        <v>770</v>
      </c>
      <c r="X205" s="1001">
        <f>SUM(X206:AA206)</f>
        <v>0</v>
      </c>
      <c r="Y205" s="1002"/>
      <c r="Z205" s="1002"/>
      <c r="AA205" s="1002"/>
      <c r="AB205" s="220"/>
      <c r="AC205" s="979"/>
      <c r="AD205" s="980"/>
      <c r="AE205" s="980"/>
      <c r="AF205" s="980"/>
      <c r="AG205" s="980"/>
      <c r="AH205" s="980"/>
      <c r="AI205" s="981"/>
    </row>
    <row r="206" spans="1:35" ht="21" hidden="1" customHeight="1" outlineLevel="2" thickBot="1" x14ac:dyDescent="0.4">
      <c r="A206" s="991"/>
      <c r="B206" s="992"/>
      <c r="C206" s="998"/>
      <c r="D206" s="5"/>
      <c r="E206" s="5"/>
      <c r="F206" s="5"/>
      <c r="G206" s="5"/>
      <c r="H206" s="5"/>
      <c r="I206" s="5"/>
      <c r="J206" s="5"/>
      <c r="K206" s="5"/>
      <c r="L206" s="5"/>
      <c r="M206" s="5"/>
      <c r="N206" s="5"/>
      <c r="O206" s="5"/>
      <c r="P206" s="5"/>
      <c r="Q206" s="5"/>
      <c r="R206" s="5"/>
      <c r="S206" s="5"/>
      <c r="T206" s="5"/>
      <c r="U206" s="223" t="s">
        <v>229</v>
      </c>
      <c r="V206" s="222">
        <v>524</v>
      </c>
      <c r="W206" s="221"/>
      <c r="X206" s="994">
        <f>SUMIFS(COMPRAS!BG:BG,COMPRAS!BF:BF,V206,COMPRAS!CS:CS,"=01-REGIMEN GENERAL",COMPRAS!CX:CX,"=SI",COMPRAS!DD:DD,"=SI")+SUMIFS(COMPRAS!BP:BP,COMPRAS!BO:BO,V206,COMPRAS!CS:CS,"=01-REGIMEN GENERAL",COMPRAS!CX:CX,"=SI",COMPRAS!DD:DD,"=SI")+SUMIFS(COMPRAS!BY:BY,COMPRAS!BX:BX,V206,COMPRAS!CS:CS,"=01-REGIMEN GENERAL",COMPRAS!CX:CX,"=SI",COMPRAS!DD:DD,"=SI")</f>
        <v>0</v>
      </c>
      <c r="Y206" s="995"/>
      <c r="Z206" s="995"/>
      <c r="AA206" s="995"/>
      <c r="AB206" s="268"/>
      <c r="AC206" s="976"/>
      <c r="AD206" s="977"/>
      <c r="AE206" s="977"/>
      <c r="AF206" s="977"/>
      <c r="AG206" s="977"/>
      <c r="AH206" s="977"/>
      <c r="AI206" s="978"/>
    </row>
    <row r="207" spans="1:35" ht="21" customHeight="1" outlineLevel="1" collapsed="1" x14ac:dyDescent="0.35">
      <c r="A207" s="985" t="s">
        <v>950</v>
      </c>
      <c r="B207" s="986"/>
      <c r="C207" s="987"/>
      <c r="D207" s="118" t="s">
        <v>949</v>
      </c>
      <c r="E207" s="118"/>
      <c r="F207" s="118"/>
      <c r="G207" s="118"/>
      <c r="H207" s="118"/>
      <c r="I207" s="118"/>
      <c r="J207" s="118"/>
      <c r="K207" s="118"/>
      <c r="L207" s="118"/>
      <c r="M207" s="118"/>
      <c r="N207" s="118"/>
      <c r="O207" s="118"/>
      <c r="P207" s="118"/>
      <c r="Q207" s="118"/>
      <c r="R207" s="118"/>
      <c r="S207" s="118"/>
      <c r="T207" s="118"/>
      <c r="U207" s="238"/>
      <c r="V207" s="237">
        <v>413</v>
      </c>
      <c r="W207" s="236" t="s">
        <v>770</v>
      </c>
      <c r="X207" s="955">
        <f>SUM(X208)</f>
        <v>0</v>
      </c>
      <c r="Y207" s="956"/>
      <c r="Z207" s="956"/>
      <c r="AA207" s="956"/>
      <c r="AB207" s="230"/>
      <c r="AC207" s="234">
        <v>463</v>
      </c>
      <c r="AD207" s="233" t="s">
        <v>770</v>
      </c>
      <c r="AE207" s="953">
        <f>SUM(AE208)</f>
        <v>0</v>
      </c>
      <c r="AF207" s="954"/>
      <c r="AG207" s="954"/>
      <c r="AH207" s="954"/>
      <c r="AI207" s="232"/>
    </row>
    <row r="208" spans="1:35" ht="21" hidden="1" customHeight="1" outlineLevel="2" x14ac:dyDescent="0.35">
      <c r="A208" s="988"/>
      <c r="B208" s="989"/>
      <c r="C208" s="990"/>
      <c r="D208" s="43"/>
      <c r="E208" s="43"/>
      <c r="F208" s="43"/>
      <c r="G208" s="43"/>
      <c r="H208" s="43"/>
      <c r="I208" s="43"/>
      <c r="J208" s="43"/>
      <c r="K208" s="43"/>
      <c r="L208" s="43"/>
      <c r="M208" s="43"/>
      <c r="N208" s="43"/>
      <c r="O208" s="43"/>
      <c r="P208" s="43"/>
      <c r="Q208" s="43"/>
      <c r="R208" s="43"/>
      <c r="U208" s="229" t="s">
        <v>194</v>
      </c>
      <c r="V208" s="272" t="s">
        <v>193</v>
      </c>
      <c r="W208" s="74"/>
      <c r="X208" s="953">
        <f>SUMIFS(COMPRAS!BG:BG,COMPRAS!BF:BF,V208,COMPRAS!CS:CS,"=01-REGIMEN GENERAL",COMPRAS!CX:CX,"&lt;&gt;SI",COMPRAS!DD:DD,"=SI")+SUMIFS(COMPRAS!BP:BP,COMPRAS!BO:BO,V208,COMPRAS!CS:CS,"=01-REGIMEN GENERAL",COMPRAS!CX:CX,"&lt;&gt;SI",COMPRAS!DD:DD,"=SI")+SUMIFS(COMPRAS!BY:BY,COMPRAS!BX:BX,V208,COMPRAS!CS:CS,"=01-REGIMEN GENERAL",COMPRAS!CX:CX,"&lt;&gt;SI",COMPRAS!DD:DD,"=SI")</f>
        <v>0</v>
      </c>
      <c r="Y208" s="954"/>
      <c r="Z208" s="954"/>
      <c r="AA208" s="954"/>
      <c r="AB208" s="43"/>
      <c r="AC208" s="111"/>
      <c r="AD208" s="227"/>
      <c r="AE208" s="953">
        <f>SUMIFS(COMPRAS!BI:BI,COMPRAS!BF:BF,V208,COMPRAS!CS:CS,"=01-REGIMEN GENERAL",COMPRAS!CX:CX,"&lt;&gt;SI",COMPRAS!DD:DD,"=SI")+SUMIFS(COMPRAS!BR:BR,COMPRAS!BO:BO,V208,COMPRAS!CS:CS,"=01-REGIMEN GENERAL",COMPRAS!CX:CX,"&lt;&gt;SI",COMPRAS!DD:DD,"=SI")+SUMIFS(COMPRAS!CA:CA,COMPRAS!BX:BX,V208,COMPRAS!CS:CS,"=01-REGIMEN GENERAL",COMPRAS!CX:CX,"&lt;&gt;SI",COMPRAS!DD:DD,"=SI")</f>
        <v>0</v>
      </c>
      <c r="AF208" s="954"/>
      <c r="AG208" s="954"/>
      <c r="AH208" s="954"/>
      <c r="AI208" s="206"/>
    </row>
    <row r="209" spans="1:35" ht="21" customHeight="1" outlineLevel="1" collapsed="1" x14ac:dyDescent="0.35">
      <c r="A209" s="988"/>
      <c r="B209" s="989"/>
      <c r="C209" s="990"/>
      <c r="D209" s="43" t="s">
        <v>948</v>
      </c>
      <c r="E209" s="43"/>
      <c r="F209" s="43"/>
      <c r="G209" s="43"/>
      <c r="H209" s="43"/>
      <c r="I209" s="43"/>
      <c r="J209" s="43"/>
      <c r="K209" s="43"/>
      <c r="L209" s="43"/>
      <c r="M209" s="43"/>
      <c r="N209" s="43"/>
      <c r="O209" s="43"/>
      <c r="P209" s="43"/>
      <c r="Q209" s="43"/>
      <c r="R209" s="15"/>
      <c r="S209" s="15"/>
      <c r="T209" s="15"/>
      <c r="U209" s="130"/>
      <c r="V209" s="241">
        <v>414</v>
      </c>
      <c r="W209" s="240" t="s">
        <v>770</v>
      </c>
      <c r="X209" s="953">
        <f>SUM(X210:AA212)</f>
        <v>0</v>
      </c>
      <c r="Y209" s="954"/>
      <c r="Z209" s="954"/>
      <c r="AA209" s="954"/>
      <c r="AB209" s="224"/>
      <c r="AC209" s="54">
        <v>464</v>
      </c>
      <c r="AD209" s="239" t="s">
        <v>770</v>
      </c>
      <c r="AE209" s="953">
        <f>SUM(AE210:AH212)</f>
        <v>0</v>
      </c>
      <c r="AF209" s="954"/>
      <c r="AG209" s="954"/>
      <c r="AH209" s="954"/>
      <c r="AI209" s="206"/>
    </row>
    <row r="210" spans="1:35" ht="21" hidden="1" customHeight="1" outlineLevel="2" x14ac:dyDescent="0.35">
      <c r="A210" s="988"/>
      <c r="B210" s="989"/>
      <c r="C210" s="990"/>
      <c r="D210" s="43"/>
      <c r="E210" s="43"/>
      <c r="F210" s="43"/>
      <c r="G210" s="43"/>
      <c r="H210" s="43"/>
      <c r="I210" s="43"/>
      <c r="J210" s="43"/>
      <c r="K210" s="43"/>
      <c r="L210" s="43"/>
      <c r="M210" s="43"/>
      <c r="N210" s="43"/>
      <c r="O210" s="43"/>
      <c r="P210" s="43"/>
      <c r="Q210" s="43"/>
      <c r="R210" s="43"/>
      <c r="S210" s="37"/>
      <c r="T210" s="37"/>
      <c r="U210" s="229" t="s">
        <v>188</v>
      </c>
      <c r="V210" s="272" t="s">
        <v>187</v>
      </c>
      <c r="W210" s="225"/>
      <c r="X210" s="953">
        <f>SUMIFS(COMPRAS!BG:BG,COMPRAS!BF:BF,V210,COMPRAS!CS:CS,"=01-REGIMEN GENERAL",COMPRAS!CX:CX,"&lt;&gt;SI",COMPRAS!DD:DD,"=SI")+SUMIFS(COMPRAS!BP:BP,COMPRAS!BO:BO,V210,COMPRAS!CS:CS,"=01-REGIMEN GENERAL",COMPRAS!CX:CX,"&lt;&gt;SI",COMPRAS!DD:DD,"=SI")+SUMIFS(COMPRAS!BY:BY,COMPRAS!BX:BX,V210,COMPRAS!CS:CS,"=01-REGIMEN GENERAL",COMPRAS!CX:CX,"&lt;&gt;SI",COMPRAS!DD:DD,"=SI")</f>
        <v>0</v>
      </c>
      <c r="Y210" s="954"/>
      <c r="Z210" s="954"/>
      <c r="AA210" s="954"/>
      <c r="AB210" s="224"/>
      <c r="AC210" s="52"/>
      <c r="AD210" s="227"/>
      <c r="AE210" s="953">
        <f>SUMIFS(COMPRAS!BI:BI,COMPRAS!BF:BF,V210,COMPRAS!CS:CS,"=01-REGIMEN GENERAL",COMPRAS!CX:CX,"&lt;&gt;SI",COMPRAS!DD:DD,"=SI")+SUMIFS(COMPRAS!BR:BR,COMPRAS!BO:BO,V210,COMPRAS!CS:CS,"=01-REGIMEN GENERAL",COMPRAS!CX:CX,"&lt;&gt;SI",COMPRAS!DD:DD,"=SI")+SUMIFS(COMPRAS!CA:CA,COMPRAS!BX:BX,V210,COMPRAS!CS:CS,"=01-REGIMEN GENERAL",COMPRAS!CX:CX,"&lt;&gt;SI",COMPRAS!DD:DD,"=SI")</f>
        <v>0</v>
      </c>
      <c r="AF210" s="954"/>
      <c r="AG210" s="954"/>
      <c r="AH210" s="954"/>
      <c r="AI210" s="206"/>
    </row>
    <row r="211" spans="1:35" ht="21" hidden="1" customHeight="1" outlineLevel="2" x14ac:dyDescent="0.35">
      <c r="A211" s="988"/>
      <c r="B211" s="989"/>
      <c r="C211" s="990"/>
      <c r="D211" s="43"/>
      <c r="E211" s="43"/>
      <c r="F211" s="43"/>
      <c r="G211" s="43"/>
      <c r="H211" s="43"/>
      <c r="I211" s="43"/>
      <c r="J211" s="43"/>
      <c r="K211" s="43"/>
      <c r="L211" s="43"/>
      <c r="M211" s="43"/>
      <c r="N211" s="43"/>
      <c r="O211" s="43"/>
      <c r="P211" s="43"/>
      <c r="Q211" s="43"/>
      <c r="R211" s="43"/>
      <c r="S211" s="37"/>
      <c r="T211" s="37"/>
      <c r="U211" s="229" t="s">
        <v>190</v>
      </c>
      <c r="V211" s="272" t="s">
        <v>189</v>
      </c>
      <c r="W211" s="225"/>
      <c r="X211" s="953">
        <f>SUMIFS(COMPRAS!BG:BG,COMPRAS!BF:BF,V211,COMPRAS!CS:CS,"=01-REGIMEN GENERAL",COMPRAS!CX:CX,"&lt;&gt;SI",COMPRAS!DD:DD,"=SI")+SUMIFS(COMPRAS!BP:BP,COMPRAS!BO:BO,V211,COMPRAS!CS:CS,"=01-REGIMEN GENERAL",COMPRAS!CX:CX,"&lt;&gt;SI",COMPRAS!DD:DD,"=SI")+SUMIFS(COMPRAS!BY:BY,COMPRAS!BX:BX,V211,COMPRAS!CS:CS,"=01-REGIMEN GENERAL",COMPRAS!CX:CX,"&lt;&gt;SI",COMPRAS!DD:DD,"=SI")</f>
        <v>0</v>
      </c>
      <c r="Y211" s="954"/>
      <c r="Z211" s="954"/>
      <c r="AA211" s="954"/>
      <c r="AB211" s="224"/>
      <c r="AC211" s="52"/>
      <c r="AD211" s="227"/>
      <c r="AE211" s="953">
        <f>SUMIFS(COMPRAS!BI:BI,COMPRAS!BF:BF,V211,COMPRAS!CS:CS,"=01-REGIMEN GENERAL",COMPRAS!CX:CX,"&lt;&gt;SI",COMPRAS!DD:DD,"=SI")+SUMIFS(COMPRAS!BR:BR,COMPRAS!BO:BO,V211,COMPRAS!CS:CS,"=01-REGIMEN GENERAL",COMPRAS!CX:CX,"&lt;&gt;SI",COMPRAS!DD:DD,"=SI")+SUMIFS(COMPRAS!CA:CA,COMPRAS!BX:BX,V211,COMPRAS!CS:CS,"=01-REGIMEN GENERAL",COMPRAS!CX:CX,"&lt;&gt;SI",COMPRAS!DD:DD,"=SI")</f>
        <v>0</v>
      </c>
      <c r="AF211" s="954"/>
      <c r="AG211" s="954"/>
      <c r="AH211" s="954"/>
      <c r="AI211" s="206"/>
    </row>
    <row r="212" spans="1:35" ht="21" hidden="1" customHeight="1" outlineLevel="2" x14ac:dyDescent="0.35">
      <c r="A212" s="988"/>
      <c r="B212" s="989"/>
      <c r="C212" s="990"/>
      <c r="D212" s="43"/>
      <c r="E212" s="43"/>
      <c r="F212" s="43"/>
      <c r="G212" s="43"/>
      <c r="H212" s="43"/>
      <c r="I212" s="43"/>
      <c r="J212" s="43"/>
      <c r="K212" s="43"/>
      <c r="L212" s="43"/>
      <c r="M212" s="15"/>
      <c r="N212" s="15"/>
      <c r="O212" s="15"/>
      <c r="P212" s="15"/>
      <c r="Q212" s="15"/>
      <c r="R212" s="15"/>
      <c r="S212" s="15"/>
      <c r="T212" s="15"/>
      <c r="U212" s="245" t="s">
        <v>192</v>
      </c>
      <c r="V212" s="272" t="s">
        <v>191</v>
      </c>
      <c r="W212" s="225"/>
      <c r="X212" s="953">
        <f>SUMIFS(COMPRAS!BG:BG,COMPRAS!BF:BF,V212,COMPRAS!CS:CS,"=01-REGIMEN GENERAL",COMPRAS!CX:CX,"&lt;&gt;SI",COMPRAS!DD:DD,"=SI")+SUMIFS(COMPRAS!BP:BP,COMPRAS!BO:BO,V212,COMPRAS!CS:CS,"=01-REGIMEN GENERAL",COMPRAS!CX:CX,"&lt;&gt;SI",COMPRAS!DD:DD,"=SI")+SUMIFS(COMPRAS!BY:BY,COMPRAS!BX:BX,V212,COMPRAS!CS:CS,"=01-REGIMEN GENERAL",COMPRAS!CX:CX,"&lt;&gt;SI",COMPRAS!DD:DD,"=SI")</f>
        <v>0</v>
      </c>
      <c r="Y212" s="954"/>
      <c r="Z212" s="954"/>
      <c r="AA212" s="954"/>
      <c r="AB212" s="224"/>
      <c r="AC212" s="52"/>
      <c r="AD212" s="227"/>
      <c r="AE212" s="953">
        <f>SUMIFS(COMPRAS!BI:BI,COMPRAS!BF:BF,V212,COMPRAS!CS:CS,"=01-REGIMEN GENERAL",COMPRAS!CX:CX,"&lt;&gt;SI",COMPRAS!DD:DD,"=SI")+SUMIFS(COMPRAS!BR:BR,COMPRAS!BO:BO,V212,COMPRAS!CS:CS,"=01-REGIMEN GENERAL",COMPRAS!CX:CX,"&lt;&gt;SI",COMPRAS!DD:DD,"=SI")+SUMIFS(COMPRAS!CA:CA,COMPRAS!BX:BX,V212,COMPRAS!CS:CS,"=01-REGIMEN GENERAL",COMPRAS!CX:CX,"&lt;&gt;SI",COMPRAS!DD:DD,"=SI")</f>
        <v>0</v>
      </c>
      <c r="AF212" s="954"/>
      <c r="AG212" s="954"/>
      <c r="AH212" s="954"/>
      <c r="AI212" s="206"/>
    </row>
    <row r="213" spans="1:35" ht="21" customHeight="1" outlineLevel="1" collapsed="1" x14ac:dyDescent="0.35">
      <c r="A213" s="988"/>
      <c r="B213" s="989"/>
      <c r="C213" s="990"/>
      <c r="D213" s="43" t="s">
        <v>945</v>
      </c>
      <c r="E213" s="43"/>
      <c r="F213" s="43"/>
      <c r="G213" s="43"/>
      <c r="H213" s="43"/>
      <c r="I213" s="43"/>
      <c r="J213" s="43"/>
      <c r="K213" s="43"/>
      <c r="L213" s="43"/>
      <c r="M213" s="43"/>
      <c r="N213" s="43"/>
      <c r="O213" s="43"/>
      <c r="P213" s="43"/>
      <c r="Q213" s="43"/>
      <c r="R213" s="43"/>
      <c r="S213" s="43"/>
      <c r="T213" s="43"/>
      <c r="U213" s="231"/>
      <c r="V213" s="226">
        <v>415</v>
      </c>
      <c r="W213" s="225" t="s">
        <v>770</v>
      </c>
      <c r="X213" s="953">
        <f>SUM(X214:AA216)</f>
        <v>0</v>
      </c>
      <c r="Y213" s="954"/>
      <c r="Z213" s="954"/>
      <c r="AA213" s="954"/>
      <c r="AB213" s="230"/>
      <c r="AC213" s="111">
        <v>465</v>
      </c>
      <c r="AD213" s="227" t="s">
        <v>770</v>
      </c>
      <c r="AE213" s="953">
        <f>SUM(AE214:AH216)</f>
        <v>0</v>
      </c>
      <c r="AF213" s="954"/>
      <c r="AG213" s="954"/>
      <c r="AH213" s="954"/>
      <c r="AI213" s="206"/>
    </row>
    <row r="214" spans="1:35" ht="21" hidden="1" customHeight="1" outlineLevel="2" x14ac:dyDescent="0.35">
      <c r="A214" s="988"/>
      <c r="B214" s="989"/>
      <c r="C214" s="990"/>
      <c r="D214" s="15"/>
      <c r="E214" s="15"/>
      <c r="F214" s="15"/>
      <c r="G214" s="15"/>
      <c r="H214" s="15"/>
      <c r="I214" s="15"/>
      <c r="J214" s="15"/>
      <c r="K214" s="15"/>
      <c r="L214" s="15"/>
      <c r="M214" s="15"/>
      <c r="N214" s="15"/>
      <c r="O214" s="15"/>
      <c r="P214" s="15"/>
      <c r="Q214" s="15"/>
      <c r="R214" s="15"/>
      <c r="S214" s="15"/>
      <c r="T214" s="15"/>
      <c r="U214" s="229" t="s">
        <v>1082</v>
      </c>
      <c r="V214" s="272" t="s">
        <v>182</v>
      </c>
      <c r="W214" s="225" t="s">
        <v>770</v>
      </c>
      <c r="X214" s="953">
        <f>SUMIFS(COMPRAS!BG:BG,COMPRAS!BF:BF,V214,COMPRAS!CS:CS,"=01-REGIMEN GENERAL",COMPRAS!CX:CX,"&lt;&gt;SI",COMPRAS!DD:DD,"=SI")+SUMIFS(COMPRAS!BP:BP,COMPRAS!BO:BO,V214,COMPRAS!CS:CS,"=01-REGIMEN GENERAL",COMPRAS!CX:CX,"&lt;&gt;SI",COMPRAS!DD:DD,"=SI")+SUMIFS(COMPRAS!BY:BY,COMPRAS!BX:BX,V214,COMPRAS!CS:CS,"=01-REGIMEN GENERAL",COMPRAS!CX:CX,"&lt;&gt;SI",COMPRAS!DD:DD,"=SI")</f>
        <v>0</v>
      </c>
      <c r="Y214" s="954"/>
      <c r="Z214" s="954"/>
      <c r="AA214" s="954"/>
      <c r="AB214" s="224"/>
      <c r="AC214" s="54"/>
      <c r="AD214" s="227" t="s">
        <v>770</v>
      </c>
      <c r="AE214" s="953">
        <f>SUMIFS(COMPRAS!BI:BI,COMPRAS!BF:BF,V214,COMPRAS!CS:CS,"=01-REGIMEN GENERAL",COMPRAS!CX:CX,"&lt;&gt;SI",COMPRAS!DD:DD,"=SI")+SUMIFS(COMPRAS!BR:BR,COMPRAS!BO:BO,V214,COMPRAS!CS:CS,"=01-REGIMEN GENERAL",COMPRAS!CX:CX,"&lt;&gt;SI",COMPRAS!DD:DD,"=SI")+SUMIFS(COMPRAS!CA:CA,COMPRAS!BX:BX,V214,COMPRAS!CS:CS,"=01-REGIMEN GENERAL",COMPRAS!CX:CX,"&lt;&gt;SI",COMPRAS!DD:DD,"=SI")</f>
        <v>0</v>
      </c>
      <c r="AF214" s="954"/>
      <c r="AG214" s="954"/>
      <c r="AH214" s="954"/>
      <c r="AI214" s="206"/>
    </row>
    <row r="215" spans="1:35" ht="21" hidden="1" customHeight="1" outlineLevel="2" x14ac:dyDescent="0.35">
      <c r="A215" s="988"/>
      <c r="B215" s="989"/>
      <c r="C215" s="990"/>
      <c r="D215" s="15"/>
      <c r="E215" s="15"/>
      <c r="F215" s="15"/>
      <c r="G215" s="15"/>
      <c r="H215" s="15"/>
      <c r="I215" s="15"/>
      <c r="J215" s="15"/>
      <c r="K215" s="15"/>
      <c r="L215" s="15"/>
      <c r="M215" s="15"/>
      <c r="N215" s="15"/>
      <c r="O215" s="15"/>
      <c r="P215" s="15"/>
      <c r="Q215" s="15"/>
      <c r="R215" s="15"/>
      <c r="S215" s="15"/>
      <c r="T215" s="15"/>
      <c r="U215" s="229" t="s">
        <v>1084</v>
      </c>
      <c r="V215" s="272" t="s">
        <v>184</v>
      </c>
      <c r="W215" s="225" t="s">
        <v>770</v>
      </c>
      <c r="X215" s="953">
        <f>SUMIFS(COMPRAS!BG:BG,COMPRAS!BF:BF,V215,COMPRAS!CS:CS,"=01-REGIMEN GENERAL",COMPRAS!CX:CX,"&lt;&gt;SI",COMPRAS!DD:DD,"=SI")+SUMIFS(COMPRAS!BP:BP,COMPRAS!BO:BO,V215,COMPRAS!CS:CS,"=01-REGIMEN GENERAL",COMPRAS!CX:CX,"&lt;&gt;SI",COMPRAS!DD:DD,"=SI")+SUMIFS(COMPRAS!BY:BY,COMPRAS!BX:BX,V215,COMPRAS!CS:CS,"=01-REGIMEN GENERAL",COMPRAS!CX:CX,"&lt;&gt;SI",COMPRAS!DD:DD,"=SI")</f>
        <v>0</v>
      </c>
      <c r="Y215" s="954"/>
      <c r="Z215" s="954"/>
      <c r="AA215" s="954"/>
      <c r="AB215" s="224"/>
      <c r="AC215" s="54"/>
      <c r="AD215" s="227" t="s">
        <v>770</v>
      </c>
      <c r="AE215" s="953">
        <f>SUMIFS(COMPRAS!BI:BI,COMPRAS!BF:BF,V215,COMPRAS!CS:CS,"=01-REGIMEN GENERAL",COMPRAS!CX:CX,"&lt;&gt;SI",COMPRAS!DD:DD,"=SI")+SUMIFS(COMPRAS!BR:BR,COMPRAS!BO:BO,V215,COMPRAS!CS:CS,"=01-REGIMEN GENERAL",COMPRAS!CX:CX,"&lt;&gt;SI",COMPRAS!DD:DD,"=SI")+SUMIFS(COMPRAS!CA:CA,COMPRAS!BX:BX,V215,COMPRAS!CS:CS,"=01-REGIMEN GENERAL",COMPRAS!CX:CX,"&lt;&gt;SI",COMPRAS!DD:DD,"=SI")</f>
        <v>0</v>
      </c>
      <c r="AF215" s="954"/>
      <c r="AG215" s="954"/>
      <c r="AH215" s="954"/>
      <c r="AI215" s="206"/>
    </row>
    <row r="216" spans="1:35" ht="21" hidden="1" customHeight="1" outlineLevel="2" x14ac:dyDescent="0.35">
      <c r="A216" s="988"/>
      <c r="B216" s="989"/>
      <c r="C216" s="990"/>
      <c r="D216" s="15"/>
      <c r="E216" s="15"/>
      <c r="F216" s="15"/>
      <c r="G216" s="15"/>
      <c r="H216" s="15"/>
      <c r="I216" s="15"/>
      <c r="J216" s="15"/>
      <c r="K216" s="15"/>
      <c r="L216" s="15"/>
      <c r="M216" s="15"/>
      <c r="N216" s="15"/>
      <c r="O216" s="15"/>
      <c r="P216" s="15"/>
      <c r="Q216" s="15"/>
      <c r="R216" s="15"/>
      <c r="S216" s="15"/>
      <c r="T216" s="15"/>
      <c r="U216" s="229" t="s">
        <v>1067</v>
      </c>
      <c r="V216" s="272" t="s">
        <v>1066</v>
      </c>
      <c r="W216" s="225" t="s">
        <v>770</v>
      </c>
      <c r="X216" s="953">
        <f>SUMIFS(COMPRAS!BG:BG,COMPRAS!BF:BF,V216,COMPRAS!CS:CS,"=01-REGIMEN GENERAL",COMPRAS!CX:CX,"&lt;&gt;SI",COMPRAS!DD:DD,"=SI")+SUMIFS(COMPRAS!BP:BP,COMPRAS!BO:BO,V216,COMPRAS!CS:CS,"=01-REGIMEN GENERAL",COMPRAS!CX:CX,"&lt;&gt;SI",COMPRAS!DD:DD,"=SI")+SUMIFS(COMPRAS!BY:BY,COMPRAS!BX:BX,V216,COMPRAS!CS:CS,"=01-REGIMEN GENERAL",COMPRAS!CX:CX,"&lt;&gt;SI",COMPRAS!DD:DD,"=SI")</f>
        <v>0</v>
      </c>
      <c r="Y216" s="954"/>
      <c r="Z216" s="954"/>
      <c r="AA216" s="954"/>
      <c r="AB216" s="224"/>
      <c r="AC216" s="54"/>
      <c r="AD216" s="227" t="s">
        <v>770</v>
      </c>
      <c r="AE216" s="953">
        <f>SUMIFS(COMPRAS!BI:BI,COMPRAS!BF:BF,V216,COMPRAS!CS:CS,"=01-REGIMEN GENERAL",COMPRAS!CX:CX,"&lt;&gt;SI",COMPRAS!DD:DD,"=SI")+SUMIFS(COMPRAS!BR:BR,COMPRAS!BO:BO,V216,COMPRAS!CS:CS,"=01-REGIMEN GENERAL",COMPRAS!CX:CX,"&lt;&gt;SI",COMPRAS!DD:DD,"=SI")+SUMIFS(COMPRAS!CA:CA,COMPRAS!BX:BX,V216,COMPRAS!CS:CS,"=01-REGIMEN GENERAL",COMPRAS!CX:CX,"&lt;&gt;SI",COMPRAS!DD:DD,"=SI")</f>
        <v>0</v>
      </c>
      <c r="AF216" s="954"/>
      <c r="AG216" s="954"/>
      <c r="AH216" s="954"/>
      <c r="AI216" s="206"/>
    </row>
    <row r="217" spans="1:35" ht="21" customHeight="1" outlineLevel="1" collapsed="1" x14ac:dyDescent="0.35">
      <c r="A217" s="988"/>
      <c r="B217" s="989"/>
      <c r="C217" s="990"/>
      <c r="D217" s="15" t="s">
        <v>944</v>
      </c>
      <c r="E217" s="15"/>
      <c r="F217" s="15"/>
      <c r="G217" s="15"/>
      <c r="H217" s="15"/>
      <c r="I217" s="15"/>
      <c r="J217" s="15"/>
      <c r="K217" s="15"/>
      <c r="L217" s="15"/>
      <c r="M217" s="15"/>
      <c r="N217" s="15"/>
      <c r="O217" s="15"/>
      <c r="P217" s="15"/>
      <c r="Q217" s="15"/>
      <c r="R217" s="15"/>
      <c r="S217" s="15"/>
      <c r="T217" s="15"/>
      <c r="U217" s="130"/>
      <c r="V217" s="226">
        <v>416</v>
      </c>
      <c r="W217" s="225" t="s">
        <v>770</v>
      </c>
      <c r="X217" s="953">
        <f>SUM(X218)</f>
        <v>0</v>
      </c>
      <c r="Y217" s="954"/>
      <c r="Z217" s="954"/>
      <c r="AA217" s="954"/>
      <c r="AB217" s="224"/>
      <c r="AC217" s="982"/>
      <c r="AD217" s="983"/>
      <c r="AE217" s="983"/>
      <c r="AF217" s="983"/>
      <c r="AG217" s="983"/>
      <c r="AH217" s="983"/>
      <c r="AI217" s="984"/>
    </row>
    <row r="218" spans="1:35" ht="21" hidden="1" customHeight="1" outlineLevel="2" thickBot="1" x14ac:dyDescent="0.4">
      <c r="A218" s="988"/>
      <c r="B218" s="989"/>
      <c r="C218" s="990"/>
      <c r="D218" s="15"/>
      <c r="E218" s="15"/>
      <c r="F218" s="15"/>
      <c r="G218" s="15"/>
      <c r="H218" s="15"/>
      <c r="I218" s="15"/>
      <c r="J218" s="15"/>
      <c r="K218" s="15"/>
      <c r="L218" s="15"/>
      <c r="M218" s="15"/>
      <c r="N218" s="15"/>
      <c r="O218" s="15"/>
      <c r="P218" s="15"/>
      <c r="Q218" s="15"/>
      <c r="R218" s="15"/>
      <c r="S218" s="15"/>
      <c r="T218" s="15"/>
      <c r="U218" s="229" t="s">
        <v>176</v>
      </c>
      <c r="V218" s="228">
        <v>504</v>
      </c>
      <c r="W218" s="225"/>
      <c r="X218" s="953">
        <f>SUMIFS(COMPRAS!BG:BG,COMPRAS!BF:BF,V218,COMPRAS!CS:CS,"=01-REGIMEN GENERAL",COMPRAS!CX:CX,"&lt;&gt;SI",COMPRAS!DD:DD,"=SI")+SUMIFS(COMPRAS!BP:BP,COMPRAS!BO:BO,V218,COMPRAS!CS:CS,"=01-REGIMEN GENERAL",COMPRAS!CX:CX,"&lt;&gt;SI",COMPRAS!DD:DD,"=SI")+SUMIFS(COMPRAS!BY:BY,COMPRAS!BX:BX,V218,COMPRAS!CS:CS,"=01-REGIMEN GENERAL",COMPRAS!CX:CX,"&lt;&gt;SI",COMPRAS!DD:DD,"=SI")</f>
        <v>0</v>
      </c>
      <c r="Y218" s="954"/>
      <c r="Z218" s="954"/>
      <c r="AA218" s="954"/>
      <c r="AB218" s="224"/>
      <c r="AC218" s="976"/>
      <c r="AD218" s="977"/>
      <c r="AE218" s="977"/>
      <c r="AF218" s="977"/>
      <c r="AG218" s="977"/>
      <c r="AH218" s="977"/>
      <c r="AI218" s="978"/>
    </row>
    <row r="219" spans="1:35" ht="21" customHeight="1" outlineLevel="1" collapsed="1" x14ac:dyDescent="0.35">
      <c r="A219" s="988"/>
      <c r="B219" s="989"/>
      <c r="C219" s="990"/>
      <c r="D219" s="15" t="s">
        <v>943</v>
      </c>
      <c r="E219" s="15"/>
      <c r="F219" s="15"/>
      <c r="G219" s="15"/>
      <c r="H219" s="15"/>
      <c r="I219" s="15"/>
      <c r="J219" s="15"/>
      <c r="K219" s="15"/>
      <c r="L219" s="15"/>
      <c r="M219" s="15"/>
      <c r="N219" s="15"/>
      <c r="O219" s="15"/>
      <c r="P219" s="15"/>
      <c r="Q219" s="15"/>
      <c r="R219" s="15"/>
      <c r="S219" s="15"/>
      <c r="T219" s="15"/>
      <c r="U219" s="130"/>
      <c r="V219" s="226">
        <v>417</v>
      </c>
      <c r="W219" s="225" t="s">
        <v>770</v>
      </c>
      <c r="X219" s="953">
        <f>SUM(X220:AA220)</f>
        <v>0</v>
      </c>
      <c r="Y219" s="954"/>
      <c r="Z219" s="954"/>
      <c r="AA219" s="954"/>
      <c r="AB219" s="224"/>
      <c r="AC219" s="54">
        <v>467</v>
      </c>
      <c r="AD219" s="227" t="s">
        <v>770</v>
      </c>
      <c r="AE219" s="953">
        <f>SUM(AE220:AH220)</f>
        <v>0</v>
      </c>
      <c r="AF219" s="954"/>
      <c r="AG219" s="954"/>
      <c r="AH219" s="954"/>
      <c r="AI219" s="206"/>
    </row>
    <row r="220" spans="1:35" ht="21" hidden="1" customHeight="1" outlineLevel="2" x14ac:dyDescent="0.35">
      <c r="A220" s="988"/>
      <c r="B220" s="989"/>
      <c r="C220" s="990"/>
      <c r="D220" s="15"/>
      <c r="E220" s="15"/>
      <c r="F220" s="15"/>
      <c r="G220" s="15"/>
      <c r="H220" s="15"/>
      <c r="I220" s="15"/>
      <c r="J220" s="15"/>
      <c r="K220" s="15"/>
      <c r="L220" s="15"/>
      <c r="M220" s="15"/>
      <c r="N220" s="15"/>
      <c r="O220" s="15"/>
      <c r="P220" s="15"/>
      <c r="Q220" s="15"/>
      <c r="R220" s="15"/>
      <c r="S220" s="15"/>
      <c r="T220" s="15"/>
      <c r="U220" s="229" t="s">
        <v>178</v>
      </c>
      <c r="V220" s="228" t="s">
        <v>177</v>
      </c>
      <c r="W220" s="225"/>
      <c r="X220" s="953">
        <f>SUMIFS(COMPRAS!BG:BG,COMPRAS!BF:BF,V220,COMPRAS!CS:CS,"=01-REGIMEN GENERAL",COMPRAS!CX:CX,"&lt;&gt;SI",COMPRAS!DD:DD,"=SI")+SUMIFS(COMPRAS!BP:BP,COMPRAS!BO:BO,V220,COMPRAS!CS:CS,"=01-REGIMEN GENERAL",COMPRAS!CX:CX,"&lt;&gt;SI",COMPRAS!DD:DD,"=SI")+SUMIFS(COMPRAS!BY:BY,COMPRAS!BX:BX,V220,COMPRAS!CS:CS,"=01-REGIMEN GENERAL",COMPRAS!CX:CX,"&lt;&gt;SI",COMPRAS!DD:DD,"=SI")</f>
        <v>0</v>
      </c>
      <c r="Y220" s="954"/>
      <c r="Z220" s="954"/>
      <c r="AA220" s="954"/>
      <c r="AB220" s="224"/>
      <c r="AC220" s="52"/>
      <c r="AD220" s="227"/>
      <c r="AE220" s="953">
        <f>SUMIFS(COMPRAS!BI:BI,COMPRAS!BF:BF,V220,COMPRAS!CS:CS,"=01-REGIMEN GENERAL",COMPRAS!CX:CX,"&lt;&gt;SI",COMPRAS!DD:DD,"=SI")+SUMIFS(COMPRAS!BR:BR,COMPRAS!BO:BO,V220,COMPRAS!CS:CS,"=01-REGIMEN GENERAL",COMPRAS!CX:CX,"&lt;&gt;SI",COMPRAS!DD:DD,"=SI")+SUMIFS(COMPRAS!CA:CA,COMPRAS!BX:BX,V220,COMPRAS!CS:CS,"=01-REGIMEN GENERAL",COMPRAS!CX:CX,"&lt;&gt;SI",COMPRAS!DD:DD,"=SI")</f>
        <v>0</v>
      </c>
      <c r="AF220" s="954"/>
      <c r="AG220" s="954"/>
      <c r="AH220" s="954"/>
      <c r="AI220" s="206"/>
    </row>
    <row r="221" spans="1:35" ht="21" customHeight="1" outlineLevel="1" collapsed="1" x14ac:dyDescent="0.35">
      <c r="A221" s="988"/>
      <c r="B221" s="989"/>
      <c r="C221" s="990"/>
      <c r="D221" s="15" t="s">
        <v>942</v>
      </c>
      <c r="E221" s="15"/>
      <c r="F221" s="15"/>
      <c r="G221" s="15"/>
      <c r="H221" s="15"/>
      <c r="I221" s="15"/>
      <c r="J221" s="15"/>
      <c r="K221" s="15"/>
      <c r="L221" s="15"/>
      <c r="M221" s="15"/>
      <c r="N221" s="15"/>
      <c r="O221" s="15"/>
      <c r="P221" s="15"/>
      <c r="Q221" s="15"/>
      <c r="R221" s="15"/>
      <c r="S221" s="15"/>
      <c r="T221" s="15"/>
      <c r="U221" s="130"/>
      <c r="V221" s="226">
        <v>418</v>
      </c>
      <c r="W221" s="225" t="s">
        <v>770</v>
      </c>
      <c r="X221" s="953">
        <f>SUM(X222:AA222)</f>
        <v>0</v>
      </c>
      <c r="Y221" s="954"/>
      <c r="Z221" s="954"/>
      <c r="AA221" s="954"/>
      <c r="AB221" s="224"/>
      <c r="AC221" s="54">
        <v>468</v>
      </c>
      <c r="AD221" s="227" t="s">
        <v>770</v>
      </c>
      <c r="AE221" s="953">
        <f>SUM(AE222:AH222)</f>
        <v>0</v>
      </c>
      <c r="AF221" s="954"/>
      <c r="AG221" s="954"/>
      <c r="AH221" s="954"/>
      <c r="AI221" s="206"/>
    </row>
    <row r="222" spans="1:35" ht="21" hidden="1" customHeight="1" outlineLevel="2" x14ac:dyDescent="0.35">
      <c r="A222" s="988"/>
      <c r="B222" s="989"/>
      <c r="C222" s="990"/>
      <c r="D222" s="15"/>
      <c r="E222" s="15"/>
      <c r="F222" s="15"/>
      <c r="G222" s="15"/>
      <c r="H222" s="15"/>
      <c r="I222" s="15"/>
      <c r="J222" s="15"/>
      <c r="K222" s="15"/>
      <c r="L222" s="15"/>
      <c r="M222" s="15"/>
      <c r="N222" s="15"/>
      <c r="O222" s="15"/>
      <c r="P222" s="15"/>
      <c r="Q222" s="15"/>
      <c r="R222" s="15"/>
      <c r="S222" s="15"/>
      <c r="T222" s="15"/>
      <c r="U222" s="229" t="s">
        <v>1079</v>
      </c>
      <c r="V222" s="228" t="s">
        <v>179</v>
      </c>
      <c r="W222" s="225"/>
      <c r="X222" s="953">
        <f>SUMIFS(COMPRAS!BG:BG,COMPRAS!BF:BF,V222,COMPRAS!CS:CS,"=01-REGIMEN GENERAL",COMPRAS!CX:CX,"&lt;&gt;SI",COMPRAS!DD:DD,"=SI")+SUMIFS(COMPRAS!BP:BP,COMPRAS!BO:BO,V222,COMPRAS!CS:CS,"=01-REGIMEN GENERAL",COMPRAS!CX:CX,"&lt;&gt;SI",COMPRAS!DD:DD,"=SI")+SUMIFS(COMPRAS!BY:BY,COMPRAS!BX:BX,V222,COMPRAS!CS:CS,"=01-REGIMEN GENERAL",COMPRAS!CX:CX,"&lt;&gt;SI",COMPRAS!DD:DD,"=SI")</f>
        <v>0</v>
      </c>
      <c r="Y222" s="954"/>
      <c r="Z222" s="954"/>
      <c r="AA222" s="954"/>
      <c r="AB222" s="224"/>
      <c r="AC222" s="52"/>
      <c r="AD222" s="227"/>
      <c r="AE222" s="953">
        <f>SUMIFS(COMPRAS!BI:BI,COMPRAS!BF:BF,V222,COMPRAS!CS:CS,"=01-REGIMEN GENERAL",COMPRAS!CX:CX,"&lt;&gt;SI",COMPRAS!DD:DD,"=SI")+SUMIFS(COMPRAS!BR:BR,COMPRAS!BO:BO,V222,COMPRAS!CS:CS,"=01-REGIMEN GENERAL",COMPRAS!CX:CX,"&lt;&gt;SI",COMPRAS!DD:DD,"=SI")+SUMIFS(COMPRAS!CA:CA,COMPRAS!BX:BX,V222,COMPRAS!CS:CS,"=01-REGIMEN GENERAL",COMPRAS!CX:CX,"&lt;&gt;SI",COMPRAS!DD:DD,"=SI")</f>
        <v>0</v>
      </c>
      <c r="AF222" s="954"/>
      <c r="AG222" s="954"/>
      <c r="AH222" s="954"/>
      <c r="AI222" s="206"/>
    </row>
    <row r="223" spans="1:35" ht="21" customHeight="1" outlineLevel="1" collapsed="1" x14ac:dyDescent="0.35">
      <c r="A223" s="988"/>
      <c r="B223" s="989"/>
      <c r="C223" s="990"/>
      <c r="D223" s="15" t="s">
        <v>1166</v>
      </c>
      <c r="E223" s="15"/>
      <c r="F223" s="15"/>
      <c r="G223" s="15"/>
      <c r="H223" s="15"/>
      <c r="I223" s="15"/>
      <c r="J223" s="15"/>
      <c r="K223" s="15"/>
      <c r="L223" s="15"/>
      <c r="M223" s="15"/>
      <c r="N223" s="15"/>
      <c r="O223" s="15"/>
      <c r="P223" s="15"/>
      <c r="Q223" s="15"/>
      <c r="R223" s="15"/>
      <c r="S223" s="15"/>
      <c r="T223" s="15"/>
      <c r="U223" s="130"/>
      <c r="V223" s="226">
        <v>4160</v>
      </c>
      <c r="W223" s="225" t="s">
        <v>770</v>
      </c>
      <c r="X223" s="953">
        <f>SUM(X224)</f>
        <v>0</v>
      </c>
      <c r="Y223" s="954"/>
      <c r="Z223" s="954"/>
      <c r="AA223" s="954"/>
      <c r="AB223" s="224"/>
      <c r="AC223" s="54">
        <v>4660</v>
      </c>
      <c r="AD223" s="227" t="s">
        <v>770</v>
      </c>
      <c r="AE223" s="953">
        <f>SUM(AE224:AH224)</f>
        <v>0</v>
      </c>
      <c r="AF223" s="954"/>
      <c r="AG223" s="954"/>
      <c r="AH223" s="954"/>
      <c r="AI223" s="206"/>
    </row>
    <row r="224" spans="1:35" ht="21" hidden="1" customHeight="1" outlineLevel="2" x14ac:dyDescent="0.35">
      <c r="A224" s="988"/>
      <c r="B224" s="989"/>
      <c r="C224" s="990"/>
      <c r="D224" s="15"/>
      <c r="E224" s="15"/>
      <c r="F224" s="15"/>
      <c r="G224" s="15"/>
      <c r="H224" s="15"/>
      <c r="I224" s="15"/>
      <c r="J224" s="15"/>
      <c r="K224" s="15"/>
      <c r="L224" s="15"/>
      <c r="M224" s="15"/>
      <c r="N224" s="15"/>
      <c r="O224" s="15"/>
      <c r="P224" s="15"/>
      <c r="Q224" s="15"/>
      <c r="R224" s="15"/>
      <c r="S224" s="15"/>
      <c r="T224" s="15"/>
      <c r="U224" s="229" t="s">
        <v>1078</v>
      </c>
      <c r="V224" s="228">
        <v>504</v>
      </c>
      <c r="W224" s="225"/>
      <c r="X224" s="953">
        <f>SUMIFS(COMPRAS!BG:BG,COMPRAS!BF:BF,V224,COMPRAS!CS:CS,"=01-REGIMEN GENERAL",COMPRAS!CX:CX,"&lt;&gt;SI",COMPRAS!DD:DD,"=SI")+SUMIFS(COMPRAS!BP:BP,COMPRAS!BO:BO,V224,COMPRAS!CS:CS,"=01-REGIMEN GENERAL",COMPRAS!CX:CX,"&lt;&gt;SI",COMPRAS!DD:DD,"=SI")+SUMIFS(COMPRAS!BY:BY,COMPRAS!BX:BX,V224,COMPRAS!CS:CS,"=01-REGIMEN GENERAL",COMPRAS!CX:CX,"&lt;&gt;SI",COMPRAS!DD:DD,"=SI")</f>
        <v>0</v>
      </c>
      <c r="Y224" s="954"/>
      <c r="Z224" s="954"/>
      <c r="AA224" s="954"/>
      <c r="AB224" s="224"/>
      <c r="AC224" s="52"/>
      <c r="AD224" s="227"/>
      <c r="AE224" s="953">
        <f>SUMIFS(COMPRAS!BI:BI,COMPRAS!BF:BF,V224,COMPRAS!CS:CS,"=01-REGIMEN GENERAL",COMPRAS!CX:CX,"&lt;&gt;SI",COMPRAS!DD:DD,"=SI")+SUMIFS(COMPRAS!BR:BR,COMPRAS!BO:BO,V224,COMPRAS!CS:CS,"=01-REGIMEN GENERAL",COMPRAS!CX:CX,"&lt;&gt;SI",COMPRAS!DD:DD,"=SI")+SUMIFS(COMPRAS!CA:CA,COMPRAS!BX:BX,V224,COMPRAS!CS:CS,"=01-REGIMEN GENERAL",COMPRAS!CX:CX,"&lt;&gt;SI",COMPRAS!DD:DD,"=SI")</f>
        <v>0</v>
      </c>
      <c r="AF224" s="954"/>
      <c r="AG224" s="954"/>
      <c r="AH224" s="954"/>
      <c r="AI224" s="206"/>
    </row>
    <row r="225" spans="1:35" ht="21" customHeight="1" outlineLevel="1" collapsed="1" x14ac:dyDescent="0.35">
      <c r="A225" s="988"/>
      <c r="B225" s="989"/>
      <c r="C225" s="990"/>
      <c r="D225" s="15" t="s">
        <v>1167</v>
      </c>
      <c r="E225" s="15"/>
      <c r="F225" s="15"/>
      <c r="G225" s="15"/>
      <c r="H225" s="15"/>
      <c r="I225" s="15"/>
      <c r="J225" s="15"/>
      <c r="K225" s="15"/>
      <c r="L225" s="15"/>
      <c r="M225" s="15"/>
      <c r="N225" s="15"/>
      <c r="O225" s="15"/>
      <c r="P225" s="15"/>
      <c r="Q225" s="15"/>
      <c r="R225" s="15"/>
      <c r="S225" s="15"/>
      <c r="T225" s="15"/>
      <c r="U225" s="130"/>
      <c r="V225" s="226">
        <v>4170</v>
      </c>
      <c r="W225" s="225" t="s">
        <v>770</v>
      </c>
      <c r="X225" s="953">
        <f>SUM(X226)</f>
        <v>0</v>
      </c>
      <c r="Y225" s="954"/>
      <c r="Z225" s="954"/>
      <c r="AA225" s="954"/>
      <c r="AB225" s="224"/>
      <c r="AC225" s="54">
        <v>4670</v>
      </c>
      <c r="AD225" s="227" t="s">
        <v>770</v>
      </c>
      <c r="AE225" s="953">
        <f>SUM(AE226:AH226)</f>
        <v>0</v>
      </c>
      <c r="AF225" s="954"/>
      <c r="AG225" s="954"/>
      <c r="AH225" s="954"/>
      <c r="AI225" s="206"/>
    </row>
    <row r="226" spans="1:35" ht="21" hidden="1" customHeight="1" outlineLevel="2" x14ac:dyDescent="0.35">
      <c r="A226" s="988"/>
      <c r="B226" s="989"/>
      <c r="C226" s="990"/>
      <c r="D226" s="15"/>
      <c r="E226" s="15"/>
      <c r="F226" s="15"/>
      <c r="G226" s="15"/>
      <c r="H226" s="15"/>
      <c r="I226" s="15"/>
      <c r="J226" s="15"/>
      <c r="K226" s="15"/>
      <c r="L226" s="15"/>
      <c r="M226" s="15"/>
      <c r="N226" s="15"/>
      <c r="O226" s="15"/>
      <c r="P226" s="15"/>
      <c r="Q226" s="15"/>
      <c r="R226" s="15"/>
      <c r="S226" s="15"/>
      <c r="T226" s="15"/>
      <c r="U226" s="229" t="s">
        <v>1171</v>
      </c>
      <c r="V226" s="228" t="s">
        <v>177</v>
      </c>
      <c r="W226" s="225"/>
      <c r="X226" s="953">
        <f>SUMIFS(COMPRAS!BG:BG,COMPRAS!BF:BF,V226,COMPRAS!CS:CS,"=01-REGIMEN GENERAL",COMPRAS!CX:CX,"&lt;&gt;SI",COMPRAS!DD:DD,"=SI")+SUMIFS(COMPRAS!BP:BP,COMPRAS!BO:BO,V226,COMPRAS!CS:CS,"=01-REGIMEN GENERAL",COMPRAS!CX:CX,"&lt;&gt;SI",COMPRAS!DD:DD,"=SI")+SUMIFS(COMPRAS!BY:BY,COMPRAS!BX:BX,V226,COMPRAS!CS:CS,"=01-REGIMEN GENERAL",COMPRAS!CX:CX,"&lt;&gt;SI",COMPRAS!DD:DD,"=SI")</f>
        <v>0</v>
      </c>
      <c r="Y226" s="954"/>
      <c r="Z226" s="954"/>
      <c r="AA226" s="954"/>
      <c r="AB226" s="224"/>
      <c r="AC226" s="52"/>
      <c r="AD226" s="227"/>
      <c r="AE226" s="953">
        <f>SUMIFS(COMPRAS!BI:BI,COMPRAS!BF:BF,V226,COMPRAS!CS:CS,"=01-REGIMEN GENERAL",COMPRAS!CX:CX,"&lt;&gt;SI",COMPRAS!DD:DD,"=SI")+SUMIFS(COMPRAS!BR:BR,COMPRAS!BO:BO,V226,COMPRAS!CS:CS,"=01-REGIMEN GENERAL",COMPRAS!CX:CX,"&lt;&gt;SI",COMPRAS!DD:DD,"=SI")+SUMIFS(COMPRAS!CA:CA,COMPRAS!BX:BX,V226,COMPRAS!CS:CS,"=01-REGIMEN GENERAL",COMPRAS!CX:CX,"&lt;&gt;SI",COMPRAS!DD:DD,"=SI")</f>
        <v>0</v>
      </c>
      <c r="AF226" s="954"/>
      <c r="AG226" s="954"/>
      <c r="AH226" s="954"/>
      <c r="AI226" s="206"/>
    </row>
    <row r="227" spans="1:35" ht="21" customHeight="1" outlineLevel="1" collapsed="1" x14ac:dyDescent="0.35">
      <c r="A227" s="988"/>
      <c r="B227" s="989"/>
      <c r="C227" s="990"/>
      <c r="D227" s="15" t="s">
        <v>1168</v>
      </c>
      <c r="E227" s="15"/>
      <c r="F227" s="15"/>
      <c r="G227" s="15"/>
      <c r="H227" s="15"/>
      <c r="I227" s="15"/>
      <c r="J227" s="15"/>
      <c r="K227" s="15"/>
      <c r="L227" s="15"/>
      <c r="M227" s="15"/>
      <c r="N227" s="15"/>
      <c r="O227" s="15"/>
      <c r="P227" s="15"/>
      <c r="Q227" s="15"/>
      <c r="R227" s="15"/>
      <c r="S227" s="15"/>
      <c r="T227" s="15"/>
      <c r="U227" s="130"/>
      <c r="V227" s="226">
        <v>4180</v>
      </c>
      <c r="W227" s="225" t="s">
        <v>770</v>
      </c>
      <c r="X227" s="953">
        <f>SUM(X228)</f>
        <v>0</v>
      </c>
      <c r="Y227" s="954"/>
      <c r="Z227" s="954"/>
      <c r="AA227" s="954"/>
      <c r="AB227" s="224"/>
      <c r="AC227" s="54">
        <v>4680</v>
      </c>
      <c r="AD227" s="227" t="s">
        <v>770</v>
      </c>
      <c r="AE227" s="953">
        <f>SUM(AE228:AH228)</f>
        <v>0</v>
      </c>
      <c r="AF227" s="954"/>
      <c r="AG227" s="954"/>
      <c r="AH227" s="954"/>
      <c r="AI227" s="206"/>
    </row>
    <row r="228" spans="1:35" ht="21" hidden="1" customHeight="1" outlineLevel="2" x14ac:dyDescent="0.35">
      <c r="A228" s="988"/>
      <c r="B228" s="989"/>
      <c r="C228" s="990"/>
      <c r="D228" s="15"/>
      <c r="E228" s="15"/>
      <c r="F228" s="15"/>
      <c r="G228" s="15"/>
      <c r="H228" s="15"/>
      <c r="I228" s="15"/>
      <c r="J228" s="15"/>
      <c r="K228" s="15"/>
      <c r="L228" s="15"/>
      <c r="M228" s="15"/>
      <c r="N228" s="15"/>
      <c r="O228" s="15"/>
      <c r="P228" s="15"/>
      <c r="Q228" s="15"/>
      <c r="R228" s="15"/>
      <c r="S228" s="15"/>
      <c r="T228" s="15"/>
      <c r="U228" s="229" t="s">
        <v>1170</v>
      </c>
      <c r="V228" s="228" t="s">
        <v>179</v>
      </c>
      <c r="W228" s="225"/>
      <c r="X228" s="953">
        <f>SUMIFS(COMPRAS!BG:BG,COMPRAS!BF:BF,V228,COMPRAS!CS:CS,"=01-REGIMEN GENERAL",COMPRAS!CX:CX,"&lt;&gt;SI",COMPRAS!DD:DD,"=SI")+SUMIFS(COMPRAS!BP:BP,COMPRAS!BO:BO,V228,COMPRAS!CS:CS,"=01-REGIMEN GENERAL",COMPRAS!CX:CX,"&lt;&gt;SI",COMPRAS!DD:DD,"=SI")+SUMIFS(COMPRAS!BY:BY,COMPRAS!BX:BX,V228,COMPRAS!CS:CS,"=01-REGIMEN GENERAL",COMPRAS!CX:CX,"&lt;&gt;SI",COMPRAS!DD:DD,"=SI")</f>
        <v>0</v>
      </c>
      <c r="Y228" s="954"/>
      <c r="Z228" s="954"/>
      <c r="AA228" s="954"/>
      <c r="AB228" s="224"/>
      <c r="AC228" s="52"/>
      <c r="AD228" s="227"/>
      <c r="AE228" s="953">
        <f>SUMIFS(COMPRAS!BI:BI,COMPRAS!BF:BF,V228,COMPRAS!CS:CS,"=01-REGIMEN GENERAL",COMPRAS!CX:CX,"&lt;&gt;SI",COMPRAS!DD:DD,"=SI")+SUMIFS(COMPRAS!BR:BR,COMPRAS!BO:BO,V228,COMPRAS!CS:CS,"=01-REGIMEN GENERAL",COMPRAS!CX:CX,"&lt;&gt;SI",COMPRAS!DD:DD,"=SI")+SUMIFS(COMPRAS!CA:CA,COMPRAS!BX:BX,V228,COMPRAS!CS:CS,"=01-REGIMEN GENERAL",COMPRAS!CX:CX,"&lt;&gt;SI",COMPRAS!DD:DD,"=SI")</f>
        <v>0</v>
      </c>
      <c r="AF228" s="954"/>
      <c r="AG228" s="954"/>
      <c r="AH228" s="954"/>
      <c r="AI228" s="206"/>
    </row>
    <row r="229" spans="1:35" ht="21" customHeight="1" outlineLevel="1" collapsed="1" x14ac:dyDescent="0.35">
      <c r="A229" s="988"/>
      <c r="B229" s="989"/>
      <c r="C229" s="990"/>
      <c r="D229" s="15" t="s">
        <v>941</v>
      </c>
      <c r="E229" s="15"/>
      <c r="F229" s="15"/>
      <c r="G229" s="15"/>
      <c r="H229" s="15"/>
      <c r="I229" s="15"/>
      <c r="J229" s="15"/>
      <c r="K229" s="15"/>
      <c r="L229" s="15"/>
      <c r="M229" s="15"/>
      <c r="N229" s="15"/>
      <c r="O229" s="15"/>
      <c r="P229" s="15"/>
      <c r="Q229" s="15"/>
      <c r="R229" s="15"/>
      <c r="S229" s="15"/>
      <c r="T229" s="15"/>
      <c r="U229" s="130"/>
      <c r="V229" s="226">
        <v>419</v>
      </c>
      <c r="W229" s="225" t="s">
        <v>770</v>
      </c>
      <c r="X229" s="953">
        <f>SUM(X230:AA230)</f>
        <v>0</v>
      </c>
      <c r="Y229" s="954"/>
      <c r="Z229" s="954"/>
      <c r="AA229" s="954"/>
      <c r="AB229" s="224"/>
      <c r="AC229" s="54">
        <v>469</v>
      </c>
      <c r="AD229" s="227" t="s">
        <v>770</v>
      </c>
      <c r="AE229" s="953">
        <f>SUM(AE230:AH230)</f>
        <v>0</v>
      </c>
      <c r="AF229" s="954"/>
      <c r="AG229" s="954"/>
      <c r="AH229" s="954"/>
      <c r="AI229" s="206"/>
    </row>
    <row r="230" spans="1:35" ht="21" hidden="1" customHeight="1" outlineLevel="2" x14ac:dyDescent="0.35">
      <c r="A230" s="988"/>
      <c r="B230" s="989"/>
      <c r="C230" s="990"/>
      <c r="D230" s="15"/>
      <c r="E230" s="15"/>
      <c r="F230" s="15"/>
      <c r="G230" s="15"/>
      <c r="H230" s="15"/>
      <c r="I230" s="15"/>
      <c r="J230" s="15"/>
      <c r="K230" s="15"/>
      <c r="L230" s="15"/>
      <c r="M230" s="15"/>
      <c r="N230" s="15"/>
      <c r="O230" s="15"/>
      <c r="P230" s="15"/>
      <c r="Q230" s="15"/>
      <c r="R230" s="15"/>
      <c r="S230" s="15"/>
      <c r="T230" s="15"/>
      <c r="U230" s="229" t="s">
        <v>226</v>
      </c>
      <c r="V230" s="272">
        <v>521</v>
      </c>
      <c r="W230" s="225"/>
      <c r="X230" s="953">
        <f>SUMIFS(COMPRAS!BG:BG,COMPRAS!BF:BF,V230,COMPRAS!CS:CS,"=01-REGIMEN GENERAL",COMPRAS!CX:CX,"&lt;&gt;SI",COMPRAS!DD:DD,"=SI")+SUMIFS(COMPRAS!BP:BP,COMPRAS!BO:BO,V230,COMPRAS!CS:CS,"=01-REGIMEN GENERAL",COMPRAS!CX:CX,"&lt;&gt;SI",COMPRAS!DD:DD,"=SI")+SUMIFS(COMPRAS!BY:BY,COMPRAS!BX:BX,V230,COMPRAS!CS:CS,"=01-REGIMEN GENERAL",COMPRAS!CX:CX,"&lt;&gt;SI",COMPRAS!DD:DD,"=SI")</f>
        <v>0</v>
      </c>
      <c r="Y230" s="954"/>
      <c r="Z230" s="954"/>
      <c r="AA230" s="954"/>
      <c r="AB230" s="224"/>
      <c r="AC230" s="52"/>
      <c r="AD230" s="227"/>
      <c r="AE230" s="953">
        <f>SUMIFS(COMPRAS!BI:BI,COMPRAS!BF:BF,V230,COMPRAS!CS:CS,"=01-REGIMEN GENERAL",COMPRAS!CX:CX,"&lt;&gt;SI",COMPRAS!DD:DD,"=SI")+SUMIFS(COMPRAS!BR:BR,COMPRAS!BO:BO,V230,COMPRAS!CS:CS,"=01-REGIMEN GENERAL",COMPRAS!CX:CX,"&lt;&gt;SI",COMPRAS!DD:DD,"=SI")+SUMIFS(COMPRAS!CA:CA,COMPRAS!BX:BX,V230,COMPRAS!CS:CS,"=01-REGIMEN GENERAL",COMPRAS!CX:CX,"&lt;&gt;SI",COMPRAS!DD:DD,"=SI")</f>
        <v>0</v>
      </c>
      <c r="AF230" s="954"/>
      <c r="AG230" s="954"/>
      <c r="AH230" s="954"/>
      <c r="AI230" s="206"/>
    </row>
    <row r="231" spans="1:35" ht="21" customHeight="1" outlineLevel="1" collapsed="1" x14ac:dyDescent="0.35">
      <c r="A231" s="988"/>
      <c r="B231" s="989"/>
      <c r="C231" s="990"/>
      <c r="D231" s="15" t="s">
        <v>940</v>
      </c>
      <c r="E231" s="15"/>
      <c r="F231" s="15"/>
      <c r="G231" s="15"/>
      <c r="H231" s="15"/>
      <c r="I231" s="15"/>
      <c r="J231" s="15"/>
      <c r="K231" s="15"/>
      <c r="L231" s="15"/>
      <c r="M231" s="15"/>
      <c r="N231" s="15"/>
      <c r="O231" s="15"/>
      <c r="P231" s="15"/>
      <c r="Q231" s="15"/>
      <c r="R231" s="15"/>
      <c r="S231" s="15"/>
      <c r="T231" s="15"/>
      <c r="U231" s="130"/>
      <c r="V231" s="226">
        <v>420</v>
      </c>
      <c r="W231" s="225" t="s">
        <v>770</v>
      </c>
      <c r="X231" s="953">
        <f>SUM(X232:AA232)</f>
        <v>0</v>
      </c>
      <c r="Y231" s="954"/>
      <c r="Z231" s="954"/>
      <c r="AA231" s="954"/>
      <c r="AB231" s="224"/>
      <c r="AC231" s="54">
        <v>470</v>
      </c>
      <c r="AD231" s="227" t="s">
        <v>770</v>
      </c>
      <c r="AE231" s="953">
        <f>SUM(AE232:AH232)</f>
        <v>0</v>
      </c>
      <c r="AF231" s="954"/>
      <c r="AG231" s="954"/>
      <c r="AH231" s="954"/>
      <c r="AI231" s="206"/>
    </row>
    <row r="232" spans="1:35" ht="21" hidden="1" customHeight="1" outlineLevel="2" x14ac:dyDescent="0.35">
      <c r="A232" s="988"/>
      <c r="B232" s="989"/>
      <c r="C232" s="990"/>
      <c r="D232" s="15"/>
      <c r="E232" s="15"/>
      <c r="F232" s="15"/>
      <c r="G232" s="15"/>
      <c r="H232" s="15"/>
      <c r="I232" s="15"/>
      <c r="J232" s="15"/>
      <c r="K232" s="15"/>
      <c r="L232" s="15"/>
      <c r="M232" s="15"/>
      <c r="N232" s="15"/>
      <c r="O232" s="15"/>
      <c r="P232" s="15"/>
      <c r="Q232" s="15"/>
      <c r="R232" s="15"/>
      <c r="S232" s="15"/>
      <c r="T232" s="15"/>
      <c r="U232" s="229" t="s">
        <v>1086</v>
      </c>
      <c r="V232" s="272" t="s">
        <v>227</v>
      </c>
      <c r="W232" s="225"/>
      <c r="X232" s="953">
        <f>SUMIFS(COMPRAS!BG:BG,COMPRAS!BF:BF,V232,COMPRAS!CS:CS,"=01-REGIMEN GENERAL",COMPRAS!CX:CX,"&lt;&gt;SI",COMPRAS!DD:DD,"=SI")+SUMIFS(COMPRAS!BP:BP,COMPRAS!BO:BO,V232,COMPRAS!CS:CS,"=01-REGIMEN GENERAL",COMPRAS!CX:CX,"&lt;&gt;SI",COMPRAS!DD:DD,"=SI")+SUMIFS(COMPRAS!BY:BY,COMPRAS!BX:BX,V232,COMPRAS!CS:CS,"=01-REGIMEN GENERAL",COMPRAS!CX:CX,"&lt;&gt;SI",COMPRAS!DD:DD,"=SI")</f>
        <v>0</v>
      </c>
      <c r="Y232" s="954"/>
      <c r="Z232" s="954"/>
      <c r="AA232" s="954"/>
      <c r="AB232" s="224"/>
      <c r="AC232" s="52"/>
      <c r="AD232" s="227"/>
      <c r="AE232" s="953">
        <f>SUMIFS(COMPRAS!BI:BI,COMPRAS!BF:BF,V232,COMPRAS!CS:CS,"=01-REGIMEN GENERAL",COMPRAS!CX:CX,"&lt;&gt;SI",COMPRAS!DD:DD,"=SI")+SUMIFS(COMPRAS!BR:BR,COMPRAS!BO:BO,V232,COMPRAS!CS:CS,"=01-REGIMEN GENERAL",COMPRAS!CX:CX,"&lt;&gt;SI",COMPRAS!DD:DD,"=SI")+SUMIFS(COMPRAS!CA:CA,COMPRAS!BX:BX,V232,COMPRAS!CS:CS,"=01-REGIMEN GENERAL",COMPRAS!CX:CX,"&lt;&gt;SI",COMPRAS!DD:DD,"=SI")</f>
        <v>0</v>
      </c>
      <c r="AF232" s="954"/>
      <c r="AG232" s="954"/>
      <c r="AH232" s="954"/>
      <c r="AI232" s="206"/>
    </row>
    <row r="233" spans="1:35" ht="21" customHeight="1" outlineLevel="1" collapsed="1" x14ac:dyDescent="0.35">
      <c r="A233" s="988"/>
      <c r="B233" s="989"/>
      <c r="C233" s="990"/>
      <c r="D233" s="15" t="s">
        <v>939</v>
      </c>
      <c r="E233" s="15"/>
      <c r="F233" s="15"/>
      <c r="G233" s="15"/>
      <c r="H233" s="15"/>
      <c r="I233" s="15"/>
      <c r="J233" s="15"/>
      <c r="K233" s="15"/>
      <c r="L233" s="15"/>
      <c r="M233" s="15"/>
      <c r="N233" s="15"/>
      <c r="O233" s="15"/>
      <c r="P233" s="15"/>
      <c r="Q233" s="15"/>
      <c r="R233" s="15"/>
      <c r="S233" s="15"/>
      <c r="T233" s="15"/>
      <c r="U233" s="130"/>
      <c r="V233" s="226">
        <v>421</v>
      </c>
      <c r="W233" s="225" t="s">
        <v>770</v>
      </c>
      <c r="X233" s="953">
        <f>SUM(X234:AA234)</f>
        <v>0</v>
      </c>
      <c r="Y233" s="954"/>
      <c r="Z233" s="954"/>
      <c r="AA233" s="954"/>
      <c r="AB233" s="224"/>
      <c r="AC233" s="54">
        <v>471</v>
      </c>
      <c r="AD233" s="227" t="s">
        <v>770</v>
      </c>
      <c r="AE233" s="953">
        <f>SUM(AE234:AH234)</f>
        <v>0</v>
      </c>
      <c r="AF233" s="954"/>
      <c r="AG233" s="954"/>
      <c r="AH233" s="954"/>
      <c r="AI233" s="206"/>
    </row>
    <row r="234" spans="1:35" ht="21" hidden="1" customHeight="1" outlineLevel="2" x14ac:dyDescent="0.35">
      <c r="A234" s="988"/>
      <c r="B234" s="989"/>
      <c r="C234" s="990"/>
      <c r="D234" s="15"/>
      <c r="E234" s="15"/>
      <c r="F234" s="15"/>
      <c r="G234" s="15"/>
      <c r="H234" s="15"/>
      <c r="I234" s="15"/>
      <c r="J234" s="15"/>
      <c r="K234" s="15"/>
      <c r="L234" s="15"/>
      <c r="M234" s="15"/>
      <c r="N234" s="15"/>
      <c r="O234" s="15"/>
      <c r="P234" s="15"/>
      <c r="Q234" s="15"/>
      <c r="R234" s="15"/>
      <c r="S234" s="15"/>
      <c r="T234" s="15"/>
      <c r="U234" s="229" t="s">
        <v>1065</v>
      </c>
      <c r="V234" s="272" t="s">
        <v>1064</v>
      </c>
      <c r="W234" s="225"/>
      <c r="X234" s="953">
        <f>SUMIFS(COMPRAS!BG:BG,COMPRAS!BF:BF,V234,COMPRAS!CS:CS,"=01-REGIMEN GENERAL",COMPRAS!CX:CX,"&lt;&gt;SI",COMPRAS!DD:DD,"=SI")+SUMIFS(COMPRAS!BP:BP,COMPRAS!BO:BO,V234,COMPRAS!CS:CS,"=01-REGIMEN GENERAL",COMPRAS!CX:CX,"&lt;&gt;SI",COMPRAS!DD:DD,"=SI")+SUMIFS(COMPRAS!BY:BY,COMPRAS!BX:BX,V234,COMPRAS!CS:CS,"=01-REGIMEN GENERAL",COMPRAS!CX:CX,"&lt;&gt;SI",COMPRAS!DD:DD,"=SI")</f>
        <v>0</v>
      </c>
      <c r="Y234" s="954"/>
      <c r="Z234" s="954"/>
      <c r="AA234" s="954"/>
      <c r="AB234" s="224"/>
      <c r="AC234" s="52"/>
      <c r="AD234" s="227"/>
      <c r="AE234" s="953">
        <f>SUMIFS(COMPRAS!BI:BI,COMPRAS!BF:BF,V234,COMPRAS!CS:CS,"=01-REGIMEN GENERAL",COMPRAS!CX:CX,"&lt;&gt;SI",COMPRAS!DD:DD,"=SI")+SUMIFS(COMPRAS!BR:BR,COMPRAS!BO:BO,V234,COMPRAS!CS:CS,"=01-REGIMEN GENERAL",COMPRAS!CX:CX,"&lt;&gt;SI",COMPRAS!DD:DD,"=SI")+SUMIFS(COMPRAS!CA:CA,COMPRAS!BX:BX,V234,COMPRAS!CS:CS,"=01-REGIMEN GENERAL",COMPRAS!CX:CX,"&lt;&gt;SI",COMPRAS!DD:DD,"=SI")</f>
        <v>0</v>
      </c>
      <c r="AF234" s="954"/>
      <c r="AG234" s="954"/>
      <c r="AH234" s="954"/>
      <c r="AI234" s="206"/>
    </row>
    <row r="235" spans="1:35" ht="21" customHeight="1" outlineLevel="1" collapsed="1" x14ac:dyDescent="0.35">
      <c r="A235" s="988"/>
      <c r="B235" s="989"/>
      <c r="C235" s="990"/>
      <c r="D235" s="15" t="s">
        <v>938</v>
      </c>
      <c r="E235" s="15"/>
      <c r="F235" s="15"/>
      <c r="G235" s="15"/>
      <c r="H235" s="15"/>
      <c r="I235" s="15"/>
      <c r="J235" s="15"/>
      <c r="K235" s="15"/>
      <c r="L235" s="15"/>
      <c r="M235" s="15"/>
      <c r="N235" s="15"/>
      <c r="O235" s="15"/>
      <c r="P235" s="15"/>
      <c r="Q235" s="15"/>
      <c r="R235" s="15"/>
      <c r="S235" s="15"/>
      <c r="T235" s="15"/>
      <c r="U235" s="130"/>
      <c r="V235" s="226">
        <v>422</v>
      </c>
      <c r="W235" s="225" t="s">
        <v>770</v>
      </c>
      <c r="X235" s="953">
        <f>SUM(X236:AA261)</f>
        <v>0</v>
      </c>
      <c r="Y235" s="954"/>
      <c r="Z235" s="954"/>
      <c r="AA235" s="954"/>
      <c r="AB235" s="224"/>
      <c r="AC235" s="54">
        <v>472</v>
      </c>
      <c r="AD235" s="227" t="s">
        <v>770</v>
      </c>
      <c r="AE235" s="953">
        <f>SUM(AE236:AH261)</f>
        <v>0</v>
      </c>
      <c r="AF235" s="954"/>
      <c r="AG235" s="954"/>
      <c r="AH235" s="954"/>
      <c r="AI235" s="206"/>
    </row>
    <row r="236" spans="1:35" ht="21" hidden="1" customHeight="1" outlineLevel="2" x14ac:dyDescent="0.35">
      <c r="A236" s="988"/>
      <c r="B236" s="989"/>
      <c r="C236" s="990"/>
      <c r="D236" s="15"/>
      <c r="E236" s="15"/>
      <c r="F236" s="15"/>
      <c r="G236" s="15"/>
      <c r="H236" s="15"/>
      <c r="I236" s="15"/>
      <c r="J236" s="15"/>
      <c r="K236" s="15"/>
      <c r="L236" s="15"/>
      <c r="M236" s="15"/>
      <c r="N236" s="15"/>
      <c r="O236" s="15"/>
      <c r="P236" s="15"/>
      <c r="Q236" s="15"/>
      <c r="R236" s="15"/>
      <c r="S236" s="15"/>
      <c r="T236" s="15"/>
      <c r="U236" s="229" t="s">
        <v>173</v>
      </c>
      <c r="V236" s="272">
        <v>500</v>
      </c>
      <c r="W236" s="225"/>
      <c r="X236" s="953">
        <f>SUMIFS(COMPRAS!BG:BG,COMPRAS!BF:BF,V236,COMPRAS!CS:CS,"=01-REGIMEN GENERAL",COMPRAS!CX:CX,"&lt;&gt;SI",COMPRAS!DD:DD,"=SI")+SUMIFS(COMPRAS!BP:BP,COMPRAS!BO:BO,V236,COMPRAS!CS:CS,"=01-REGIMEN GENERAL",COMPRAS!CX:CX,"&lt;&gt;SI",COMPRAS!DD:DD,"=SI")+SUMIFS(COMPRAS!BY:BY,COMPRAS!BX:BX,V236,COMPRAS!CS:CS,"=01-REGIMEN GENERAL",COMPRAS!CX:CX,"&lt;&gt;SI",COMPRAS!DD:DD,"=SI")</f>
        <v>0</v>
      </c>
      <c r="Y236" s="954"/>
      <c r="Z236" s="954"/>
      <c r="AA236" s="954"/>
      <c r="AB236" s="224"/>
      <c r="AC236" s="52"/>
      <c r="AD236" s="227"/>
      <c r="AE236" s="953">
        <f>SUMIFS(COMPRAS!BI:BI,COMPRAS!BF:BF,V236,COMPRAS!CS:CS,"=01-REGIMEN GENERAL",COMPRAS!CX:CX,"&lt;&gt;SI",COMPRAS!DD:DD,"=SI")+SUMIFS(COMPRAS!BR:BR,COMPRAS!BO:BO,V236,COMPRAS!CS:CS,"=01-REGIMEN GENERAL",COMPRAS!CX:CX,"&lt;&gt;SI",COMPRAS!DD:DD,"=SI")+SUMIFS(COMPRAS!CA:CA,COMPRAS!BX:BX,V236,COMPRAS!CS:CS,"=01-REGIMEN GENERAL",COMPRAS!CX:CX,"&lt;&gt;SI",COMPRAS!DD:DD,"=SI")</f>
        <v>0</v>
      </c>
      <c r="AF236" s="954"/>
      <c r="AG236" s="954"/>
      <c r="AH236" s="954"/>
      <c r="AI236" s="206"/>
    </row>
    <row r="237" spans="1:35" ht="21" hidden="1" customHeight="1" outlineLevel="2" x14ac:dyDescent="0.35">
      <c r="A237" s="988"/>
      <c r="B237" s="989"/>
      <c r="C237" s="990"/>
      <c r="D237" s="15"/>
      <c r="E237" s="15"/>
      <c r="F237" s="15"/>
      <c r="G237" s="15"/>
      <c r="H237" s="15"/>
      <c r="I237" s="15"/>
      <c r="J237" s="15"/>
      <c r="K237" s="15"/>
      <c r="L237" s="15"/>
      <c r="M237" s="15"/>
      <c r="N237" s="15"/>
      <c r="O237" s="15"/>
      <c r="P237" s="15"/>
      <c r="Q237" s="15"/>
      <c r="R237" s="15"/>
      <c r="S237" s="15"/>
      <c r="T237" s="15"/>
      <c r="U237" s="229" t="s">
        <v>174</v>
      </c>
      <c r="V237" s="272">
        <v>501</v>
      </c>
      <c r="W237" s="225"/>
      <c r="X237" s="953">
        <f>SUMIFS(COMPRAS!BG:BG,COMPRAS!BF:BF,V237,COMPRAS!CS:CS,"=01-REGIMEN GENERAL",COMPRAS!CX:CX,"&lt;&gt;SI",COMPRAS!DD:DD,"=SI")+SUMIFS(COMPRAS!BP:BP,COMPRAS!BO:BO,V237,COMPRAS!CS:CS,"=01-REGIMEN GENERAL",COMPRAS!CX:CX,"&lt;&gt;SI",COMPRAS!DD:DD,"=SI")+SUMIFS(COMPRAS!BY:BY,COMPRAS!BX:BX,V237,COMPRAS!CS:CS,"=01-REGIMEN GENERAL",COMPRAS!CX:CX,"&lt;&gt;SI",COMPRAS!DD:DD,"=SI")</f>
        <v>0</v>
      </c>
      <c r="Y237" s="954"/>
      <c r="Z237" s="954"/>
      <c r="AA237" s="954"/>
      <c r="AB237" s="224"/>
      <c r="AC237" s="52"/>
      <c r="AD237" s="227"/>
      <c r="AE237" s="953">
        <f>SUMIFS(COMPRAS!BI:BI,COMPRAS!BF:BF,V237,COMPRAS!CS:CS,"=01-REGIMEN GENERAL",COMPRAS!CX:CX,"&lt;&gt;SI",COMPRAS!DD:DD,"=SI")+SUMIFS(COMPRAS!BR:BR,COMPRAS!BO:BO,V237,COMPRAS!CS:CS,"=01-REGIMEN GENERAL",COMPRAS!CX:CX,"&lt;&gt;SI",COMPRAS!DD:DD,"=SI")+SUMIFS(COMPRAS!CA:CA,COMPRAS!BX:BX,V237,COMPRAS!CS:CS,"=01-REGIMEN GENERAL",COMPRAS!CX:CX,"&lt;&gt;SI",COMPRAS!DD:DD,"=SI")</f>
        <v>0</v>
      </c>
      <c r="AF237" s="954"/>
      <c r="AG237" s="954"/>
      <c r="AH237" s="954"/>
      <c r="AI237" s="206"/>
    </row>
    <row r="238" spans="1:35" ht="21" hidden="1" customHeight="1" outlineLevel="2" x14ac:dyDescent="0.35">
      <c r="A238" s="988"/>
      <c r="B238" s="989"/>
      <c r="C238" s="990"/>
      <c r="D238" s="15"/>
      <c r="E238" s="15"/>
      <c r="F238" s="15"/>
      <c r="G238" s="15"/>
      <c r="H238" s="15"/>
      <c r="I238" s="15"/>
      <c r="J238" s="15"/>
      <c r="K238" s="15"/>
      <c r="L238" s="15"/>
      <c r="M238" s="15"/>
      <c r="N238" s="15"/>
      <c r="O238" s="15"/>
      <c r="P238" s="15"/>
      <c r="Q238" s="15"/>
      <c r="R238" s="15"/>
      <c r="S238" s="15"/>
      <c r="T238" s="15"/>
      <c r="U238" s="229" t="s">
        <v>175</v>
      </c>
      <c r="V238" s="272">
        <v>503</v>
      </c>
      <c r="W238" s="225"/>
      <c r="X238" s="953">
        <f>SUMIFS(COMPRAS!BG:BG,COMPRAS!BF:BF,V238,COMPRAS!CS:CS,"=01-REGIMEN GENERAL",COMPRAS!CX:CX,"&lt;&gt;SI",COMPRAS!DD:DD,"=SI")+SUMIFS(COMPRAS!BP:BP,COMPRAS!BO:BO,V238,COMPRAS!CS:CS,"=01-REGIMEN GENERAL",COMPRAS!CX:CX,"&lt;&gt;SI",COMPRAS!DD:DD,"=SI")+SUMIFS(COMPRAS!BY:BY,COMPRAS!BX:BX,V238,COMPRAS!CS:CS,"=01-REGIMEN GENERAL",COMPRAS!CX:CX,"&lt;&gt;SI",COMPRAS!DD:DD,"=SI")</f>
        <v>0</v>
      </c>
      <c r="Y238" s="954"/>
      <c r="Z238" s="954"/>
      <c r="AA238" s="954"/>
      <c r="AB238" s="224"/>
      <c r="AC238" s="52"/>
      <c r="AD238" s="227"/>
      <c r="AE238" s="953">
        <f>SUMIFS(COMPRAS!BI:BI,COMPRAS!BF:BF,V238,COMPRAS!CS:CS,"=01-REGIMEN GENERAL",COMPRAS!CX:CX,"&lt;&gt;SI",COMPRAS!DD:DD,"=SI")+SUMIFS(COMPRAS!BR:BR,COMPRAS!BO:BO,V238,COMPRAS!CS:CS,"=01-REGIMEN GENERAL",COMPRAS!CX:CX,"&lt;&gt;SI",COMPRAS!DD:DD,"=SI")+SUMIFS(COMPRAS!CA:CA,COMPRAS!BX:BX,V238,COMPRAS!CS:CS,"=01-REGIMEN GENERAL",COMPRAS!CX:CX,"&lt;&gt;SI",COMPRAS!DD:DD,"=SI")</f>
        <v>0</v>
      </c>
      <c r="AF238" s="954"/>
      <c r="AG238" s="954"/>
      <c r="AH238" s="954"/>
      <c r="AI238" s="206"/>
    </row>
    <row r="239" spans="1:35" ht="21" hidden="1" customHeight="1" outlineLevel="2" x14ac:dyDescent="0.35">
      <c r="A239" s="988"/>
      <c r="B239" s="989"/>
      <c r="C239" s="990"/>
      <c r="D239" s="15"/>
      <c r="E239" s="15"/>
      <c r="F239" s="15"/>
      <c r="G239" s="15"/>
      <c r="H239" s="15"/>
      <c r="I239" s="15"/>
      <c r="J239" s="15"/>
      <c r="K239" s="15"/>
      <c r="L239" s="15"/>
      <c r="M239" s="15"/>
      <c r="N239" s="15"/>
      <c r="O239" s="15"/>
      <c r="P239" s="15"/>
      <c r="Q239" s="15"/>
      <c r="R239" s="15"/>
      <c r="S239" s="15"/>
      <c r="T239" s="15"/>
      <c r="U239" s="229" t="s">
        <v>186</v>
      </c>
      <c r="V239" s="272">
        <v>505</v>
      </c>
      <c r="W239" s="225"/>
      <c r="X239" s="953">
        <f>SUMIFS(COMPRAS!BG:BG,COMPRAS!BF:BF,V239,COMPRAS!CS:CS,"=01-REGIMEN GENERAL",COMPRAS!CX:CX,"&lt;&gt;SI",COMPRAS!DD:DD,"=SI")+SUMIFS(COMPRAS!BP:BP,COMPRAS!BO:BO,V239,COMPRAS!CS:CS,"=01-REGIMEN GENERAL",COMPRAS!CX:CX,"&lt;&gt;SI",COMPRAS!DD:DD,"=SI")+SUMIFS(COMPRAS!BY:BY,COMPRAS!BX:BX,V239,COMPRAS!CS:CS,"=01-REGIMEN GENERAL",COMPRAS!CX:CX,"&lt;&gt;SI",COMPRAS!DD:DD,"=SI")</f>
        <v>0</v>
      </c>
      <c r="Y239" s="954"/>
      <c r="Z239" s="954"/>
      <c r="AA239" s="954"/>
      <c r="AB239" s="224"/>
      <c r="AC239" s="52"/>
      <c r="AD239" s="227"/>
      <c r="AE239" s="953">
        <f>SUMIFS(COMPRAS!BI:BI,COMPRAS!BF:BF,V239,COMPRAS!CS:CS,"=01-REGIMEN GENERAL",COMPRAS!CX:CX,"&lt;&gt;SI",COMPRAS!DD:DD,"=SI")+SUMIFS(COMPRAS!BR:BR,COMPRAS!BO:BO,V239,COMPRAS!CS:CS,"=01-REGIMEN GENERAL",COMPRAS!CX:CX,"&lt;&gt;SI",COMPRAS!DD:DD,"=SI")+SUMIFS(COMPRAS!CA:CA,COMPRAS!BX:BX,V239,COMPRAS!CS:CS,"=01-REGIMEN GENERAL",COMPRAS!CX:CX,"&lt;&gt;SI",COMPRAS!DD:DD,"=SI")</f>
        <v>0</v>
      </c>
      <c r="AF239" s="954"/>
      <c r="AG239" s="954"/>
      <c r="AH239" s="954"/>
      <c r="AI239" s="206"/>
    </row>
    <row r="240" spans="1:35" ht="21" hidden="1" customHeight="1" outlineLevel="2" x14ac:dyDescent="0.35">
      <c r="A240" s="988"/>
      <c r="B240" s="989"/>
      <c r="C240" s="990"/>
      <c r="D240" s="15"/>
      <c r="E240" s="15"/>
      <c r="F240" s="15"/>
      <c r="G240" s="15"/>
      <c r="H240" s="15"/>
      <c r="I240" s="15"/>
      <c r="J240" s="15"/>
      <c r="K240" s="15"/>
      <c r="L240" s="15"/>
      <c r="M240" s="15"/>
      <c r="N240" s="15"/>
      <c r="O240" s="15"/>
      <c r="P240" s="15"/>
      <c r="Q240" s="15"/>
      <c r="R240" s="15"/>
      <c r="S240" s="15"/>
      <c r="T240" s="15"/>
      <c r="U240" s="229" t="s">
        <v>199</v>
      </c>
      <c r="V240" s="272">
        <v>509</v>
      </c>
      <c r="W240" s="225"/>
      <c r="X240" s="953">
        <f>SUMIFS(COMPRAS!BG:BG,COMPRAS!BF:BF,V240,COMPRAS!CS:CS,"=01-REGIMEN GENERAL",COMPRAS!CX:CX,"&lt;&gt;SI",COMPRAS!DD:DD,"=SI")+SUMIFS(COMPRAS!BP:BP,COMPRAS!BO:BO,V240,COMPRAS!CS:CS,"=01-REGIMEN GENERAL",COMPRAS!CX:CX,"&lt;&gt;SI",COMPRAS!DD:DD,"=SI")+SUMIFS(COMPRAS!BY:BY,COMPRAS!BX:BX,V240,COMPRAS!CS:CS,"=01-REGIMEN GENERAL",COMPRAS!CX:CX,"&lt;&gt;SI",COMPRAS!DD:DD,"=SI")</f>
        <v>0</v>
      </c>
      <c r="Y240" s="954"/>
      <c r="Z240" s="954"/>
      <c r="AA240" s="954"/>
      <c r="AB240" s="224"/>
      <c r="AC240" s="52"/>
      <c r="AD240" s="227"/>
      <c r="AE240" s="953">
        <f>SUMIFS(COMPRAS!BI:BI,COMPRAS!BF:BF,V240,COMPRAS!CS:CS,"=01-REGIMEN GENERAL",COMPRAS!CX:CX,"&lt;&gt;SI",COMPRAS!DD:DD,"=SI")+SUMIFS(COMPRAS!BR:BR,COMPRAS!BO:BO,V240,COMPRAS!CS:CS,"=01-REGIMEN GENERAL",COMPRAS!CX:CX,"&lt;&gt;SI",COMPRAS!DD:DD,"=SI")+SUMIFS(COMPRAS!CA:CA,COMPRAS!BX:BX,V240,COMPRAS!CS:CS,"=01-REGIMEN GENERAL",COMPRAS!CX:CX,"&lt;&gt;SI",COMPRAS!DD:DD,"=SI")</f>
        <v>0</v>
      </c>
      <c r="AF240" s="954"/>
      <c r="AG240" s="954"/>
      <c r="AH240" s="954"/>
      <c r="AI240" s="206"/>
    </row>
    <row r="241" spans="1:35" ht="21" hidden="1" customHeight="1" outlineLevel="2" x14ac:dyDescent="0.35">
      <c r="A241" s="988"/>
      <c r="B241" s="989"/>
      <c r="C241" s="990"/>
      <c r="D241" s="15"/>
      <c r="E241" s="15"/>
      <c r="F241" s="15"/>
      <c r="G241" s="15"/>
      <c r="H241" s="15"/>
      <c r="I241" s="15"/>
      <c r="J241" s="15"/>
      <c r="K241" s="15"/>
      <c r="L241" s="15"/>
      <c r="M241" s="15"/>
      <c r="N241" s="15"/>
      <c r="O241" s="15"/>
      <c r="P241" s="15"/>
      <c r="Q241" s="15"/>
      <c r="R241" s="15"/>
      <c r="S241" s="15"/>
      <c r="T241" s="15"/>
      <c r="U241" s="229" t="s">
        <v>202</v>
      </c>
      <c r="V241" s="272">
        <v>510</v>
      </c>
      <c r="W241" s="225"/>
      <c r="X241" s="953">
        <f>SUMIFS(COMPRAS!BG:BG,COMPRAS!BF:BF,V241,COMPRAS!CS:CS,"=01-REGIMEN GENERAL",COMPRAS!CX:CX,"&lt;&gt;SI",COMPRAS!DD:DD,"=SI")+SUMIFS(COMPRAS!BP:BP,COMPRAS!BO:BO,V241,COMPRAS!CS:CS,"=01-REGIMEN GENERAL",COMPRAS!CX:CX,"&lt;&gt;SI",COMPRAS!DD:DD,"=SI")+SUMIFS(COMPRAS!BY:BY,COMPRAS!BX:BX,V241,COMPRAS!CS:CS,"=01-REGIMEN GENERAL",COMPRAS!CX:CX,"&lt;&gt;SI",COMPRAS!DD:DD,"=SI")</f>
        <v>0</v>
      </c>
      <c r="Y241" s="954"/>
      <c r="Z241" s="954"/>
      <c r="AA241" s="954"/>
      <c r="AB241" s="224"/>
      <c r="AC241" s="52"/>
      <c r="AD241" s="227"/>
      <c r="AE241" s="953">
        <f>SUMIFS(COMPRAS!BI:BI,COMPRAS!BF:BF,V241,COMPRAS!CS:CS,"=01-REGIMEN GENERAL",COMPRAS!CX:CX,"&lt;&gt;SI",COMPRAS!DD:DD,"=SI")+SUMIFS(COMPRAS!BR:BR,COMPRAS!BO:BO,V241,COMPRAS!CS:CS,"=01-REGIMEN GENERAL",COMPRAS!CX:CX,"&lt;&gt;SI",COMPRAS!DD:DD,"=SI")+SUMIFS(COMPRAS!CA:CA,COMPRAS!BX:BX,V241,COMPRAS!CS:CS,"=01-REGIMEN GENERAL",COMPRAS!CX:CX,"&lt;&gt;SI",COMPRAS!DD:DD,"=SI")</f>
        <v>0</v>
      </c>
      <c r="AF241" s="954"/>
      <c r="AG241" s="954"/>
      <c r="AH241" s="954"/>
      <c r="AI241" s="206"/>
    </row>
    <row r="242" spans="1:35" ht="21" hidden="1" customHeight="1" outlineLevel="2" x14ac:dyDescent="0.35">
      <c r="A242" s="988"/>
      <c r="B242" s="989"/>
      <c r="C242" s="990"/>
      <c r="D242" s="15"/>
      <c r="E242" s="15"/>
      <c r="F242" s="15"/>
      <c r="G242" s="15"/>
      <c r="H242" s="15"/>
      <c r="I242" s="15"/>
      <c r="J242" s="15"/>
      <c r="K242" s="15"/>
      <c r="L242" s="15"/>
      <c r="M242" s="15"/>
      <c r="N242" s="15"/>
      <c r="O242" s="15"/>
      <c r="P242" s="15"/>
      <c r="Q242" s="15"/>
      <c r="R242" s="15"/>
      <c r="S242" s="15"/>
      <c r="T242" s="15"/>
      <c r="U242" s="229" t="s">
        <v>203</v>
      </c>
      <c r="V242" s="272">
        <v>511</v>
      </c>
      <c r="W242" s="225"/>
      <c r="X242" s="953">
        <f>SUMIFS(COMPRAS!BG:BG,COMPRAS!BF:BF,V242,COMPRAS!CS:CS,"=01-REGIMEN GENERAL",COMPRAS!CX:CX,"&lt;&gt;SI",COMPRAS!DD:DD,"=SI")+SUMIFS(COMPRAS!BP:BP,COMPRAS!BO:BO,V242,COMPRAS!CS:CS,"=01-REGIMEN GENERAL",COMPRAS!CX:CX,"&lt;&gt;SI",COMPRAS!DD:DD,"=SI")+SUMIFS(COMPRAS!BY:BY,COMPRAS!BX:BX,V242,COMPRAS!CS:CS,"=01-REGIMEN GENERAL",COMPRAS!CX:CX,"&lt;&gt;SI",COMPRAS!DD:DD,"=SI")</f>
        <v>0</v>
      </c>
      <c r="Y242" s="954"/>
      <c r="Z242" s="954"/>
      <c r="AA242" s="954"/>
      <c r="AB242" s="224"/>
      <c r="AC242" s="52"/>
      <c r="AD242" s="227"/>
      <c r="AE242" s="953">
        <f>SUMIFS(COMPRAS!BI:BI,COMPRAS!BF:BF,V242,COMPRAS!CS:CS,"=01-REGIMEN GENERAL",COMPRAS!CX:CX,"&lt;&gt;SI",COMPRAS!DD:DD,"=SI")+SUMIFS(COMPRAS!BR:BR,COMPRAS!BO:BO,V242,COMPRAS!CS:CS,"=01-REGIMEN GENERAL",COMPRAS!CX:CX,"&lt;&gt;SI",COMPRAS!DD:DD,"=SI")+SUMIFS(COMPRAS!CA:CA,COMPRAS!BX:BX,V242,COMPRAS!CS:CS,"=01-REGIMEN GENERAL",COMPRAS!CX:CX,"&lt;&gt;SI",COMPRAS!DD:DD,"=SI")</f>
        <v>0</v>
      </c>
      <c r="AF242" s="954"/>
      <c r="AG242" s="954"/>
      <c r="AH242" s="954"/>
      <c r="AI242" s="206"/>
    </row>
    <row r="243" spans="1:35" ht="21" hidden="1" customHeight="1" outlineLevel="2" x14ac:dyDescent="0.35">
      <c r="A243" s="988"/>
      <c r="B243" s="989"/>
      <c r="C243" s="990"/>
      <c r="D243" s="15"/>
      <c r="E243" s="15"/>
      <c r="F243" s="15"/>
      <c r="G243" s="15"/>
      <c r="H243" s="15"/>
      <c r="I243" s="15"/>
      <c r="J243" s="15"/>
      <c r="K243" s="15"/>
      <c r="L243" s="15"/>
      <c r="M243" s="15"/>
      <c r="N243" s="15"/>
      <c r="O243" s="15"/>
      <c r="P243" s="15"/>
      <c r="Q243" s="15"/>
      <c r="R243" s="15"/>
      <c r="S243" s="15"/>
      <c r="T243" s="15"/>
      <c r="U243" s="229" t="s">
        <v>204</v>
      </c>
      <c r="V243" s="272">
        <v>512</v>
      </c>
      <c r="W243" s="225"/>
      <c r="X243" s="953">
        <f>SUMIFS(COMPRAS!BG:BG,COMPRAS!BF:BF,V243,COMPRAS!CS:CS,"=01-REGIMEN GENERAL",COMPRAS!CX:CX,"&lt;&gt;SI",COMPRAS!DD:DD,"=SI")+SUMIFS(COMPRAS!BP:BP,COMPRAS!BO:BO,V243,COMPRAS!CS:CS,"=01-REGIMEN GENERAL",COMPRAS!CX:CX,"&lt;&gt;SI",COMPRAS!DD:DD,"=SI")+SUMIFS(COMPRAS!BY:BY,COMPRAS!BX:BX,V243,COMPRAS!CS:CS,"=01-REGIMEN GENERAL",COMPRAS!CX:CX,"&lt;&gt;SI",COMPRAS!DD:DD,"=SI")</f>
        <v>0</v>
      </c>
      <c r="Y243" s="954"/>
      <c r="Z243" s="954"/>
      <c r="AA243" s="954"/>
      <c r="AB243" s="224"/>
      <c r="AC243" s="52"/>
      <c r="AD243" s="227"/>
      <c r="AE243" s="953">
        <f>SUMIFS(COMPRAS!BI:BI,COMPRAS!BF:BF,V243,COMPRAS!CS:CS,"=01-REGIMEN GENERAL",COMPRAS!CX:CX,"&lt;&gt;SI",COMPRAS!DD:DD,"=SI")+SUMIFS(COMPRAS!BR:BR,COMPRAS!BO:BO,V243,COMPRAS!CS:CS,"=01-REGIMEN GENERAL",COMPRAS!CX:CX,"&lt;&gt;SI",COMPRAS!DD:DD,"=SI")+SUMIFS(COMPRAS!CA:CA,COMPRAS!BX:BX,V243,COMPRAS!CS:CS,"=01-REGIMEN GENERAL",COMPRAS!CX:CX,"&lt;&gt;SI",COMPRAS!DD:DD,"=SI")</f>
        <v>0</v>
      </c>
      <c r="AF243" s="954"/>
      <c r="AG243" s="954"/>
      <c r="AH243" s="954"/>
      <c r="AI243" s="206"/>
    </row>
    <row r="244" spans="1:35" ht="21" hidden="1" customHeight="1" outlineLevel="2" x14ac:dyDescent="0.35">
      <c r="A244" s="988"/>
      <c r="B244" s="989"/>
      <c r="C244" s="990"/>
      <c r="D244" s="15"/>
      <c r="E244" s="15"/>
      <c r="F244" s="15"/>
      <c r="G244" s="15"/>
      <c r="H244" s="15"/>
      <c r="I244" s="15"/>
      <c r="J244" s="15"/>
      <c r="K244" s="15"/>
      <c r="L244" s="15"/>
      <c r="M244" s="15"/>
      <c r="N244" s="15"/>
      <c r="O244" s="15"/>
      <c r="P244" s="15"/>
      <c r="Q244" s="15"/>
      <c r="R244" s="15"/>
      <c r="S244" s="15"/>
      <c r="T244" s="15"/>
      <c r="U244" s="229" t="s">
        <v>205</v>
      </c>
      <c r="V244" s="272">
        <v>513</v>
      </c>
      <c r="W244" s="225"/>
      <c r="X244" s="953">
        <f>SUMIFS(COMPRAS!BG:BG,COMPRAS!BF:BF,V244,COMPRAS!CS:CS,"=01-REGIMEN GENERAL",COMPRAS!CX:CX,"&lt;&gt;SI",COMPRAS!DD:DD,"=SI")+SUMIFS(COMPRAS!BP:BP,COMPRAS!BO:BO,V244,COMPRAS!CS:CS,"=01-REGIMEN GENERAL",COMPRAS!CX:CX,"&lt;&gt;SI",COMPRAS!DD:DD,"=SI")+SUMIFS(COMPRAS!BY:BY,COMPRAS!BX:BX,V244,COMPRAS!CS:CS,"=01-REGIMEN GENERAL",COMPRAS!CX:CX,"&lt;&gt;SI",COMPRAS!DD:DD,"=SI")</f>
        <v>0</v>
      </c>
      <c r="Y244" s="954"/>
      <c r="Z244" s="954"/>
      <c r="AA244" s="954"/>
      <c r="AB244" s="224"/>
      <c r="AC244" s="52"/>
      <c r="AD244" s="227"/>
      <c r="AE244" s="953">
        <f>SUMIFS(COMPRAS!BI:BI,COMPRAS!BF:BF,V244,COMPRAS!CS:CS,"=01-REGIMEN GENERAL",COMPRAS!CX:CX,"&lt;&gt;SI",COMPRAS!DD:DD,"=SI")+SUMIFS(COMPRAS!BR:BR,COMPRAS!BO:BO,V244,COMPRAS!CS:CS,"=01-REGIMEN GENERAL",COMPRAS!CX:CX,"&lt;&gt;SI",COMPRAS!DD:DD,"=SI")+SUMIFS(COMPRAS!CA:CA,COMPRAS!BX:BX,V244,COMPRAS!CS:CS,"=01-REGIMEN GENERAL",COMPRAS!CX:CX,"&lt;&gt;SI",COMPRAS!DD:DD,"=SI")</f>
        <v>0</v>
      </c>
      <c r="AF244" s="954"/>
      <c r="AG244" s="954"/>
      <c r="AH244" s="954"/>
      <c r="AI244" s="206"/>
    </row>
    <row r="245" spans="1:35" ht="21" hidden="1" customHeight="1" outlineLevel="2" x14ac:dyDescent="0.35">
      <c r="A245" s="988"/>
      <c r="B245" s="989"/>
      <c r="C245" s="990"/>
      <c r="D245" s="15"/>
      <c r="E245" s="15"/>
      <c r="F245" s="15"/>
      <c r="G245" s="15"/>
      <c r="H245" s="15"/>
      <c r="I245" s="15"/>
      <c r="J245" s="15"/>
      <c r="K245" s="15"/>
      <c r="L245" s="15"/>
      <c r="M245" s="15"/>
      <c r="N245" s="15"/>
      <c r="O245" s="15"/>
      <c r="P245" s="15"/>
      <c r="Q245" s="15"/>
      <c r="R245" s="15"/>
      <c r="S245" s="15"/>
      <c r="T245" s="15"/>
      <c r="U245" s="229" t="s">
        <v>208</v>
      </c>
      <c r="V245" s="272">
        <v>514</v>
      </c>
      <c r="W245" s="225"/>
      <c r="X245" s="953">
        <f>SUMIFS(COMPRAS!BG:BG,COMPRAS!BF:BF,V245,COMPRAS!CS:CS,"=01-REGIMEN GENERAL",COMPRAS!CX:CX,"&lt;&gt;SI",COMPRAS!DD:DD,"=SI")+SUMIFS(COMPRAS!BP:BP,COMPRAS!BO:BO,V245,COMPRAS!CS:CS,"=01-REGIMEN GENERAL",COMPRAS!CX:CX,"&lt;&gt;SI",COMPRAS!DD:DD,"=SI")+SUMIFS(COMPRAS!BY:BY,COMPRAS!BX:BX,V245,COMPRAS!CS:CS,"=01-REGIMEN GENERAL",COMPRAS!CX:CX,"&lt;&gt;SI",COMPRAS!DD:DD,"=SI")</f>
        <v>0</v>
      </c>
      <c r="Y245" s="954"/>
      <c r="Z245" s="954"/>
      <c r="AA245" s="954"/>
      <c r="AB245" s="224"/>
      <c r="AC245" s="52"/>
      <c r="AD245" s="227"/>
      <c r="AE245" s="953">
        <f>SUMIFS(COMPRAS!BI:BI,COMPRAS!BF:BF,V245,COMPRAS!CS:CS,"=01-REGIMEN GENERAL",COMPRAS!CX:CX,"&lt;&gt;SI",COMPRAS!DD:DD,"=SI")+SUMIFS(COMPRAS!BR:BR,COMPRAS!BO:BO,V245,COMPRAS!CS:CS,"=01-REGIMEN GENERAL",COMPRAS!CX:CX,"&lt;&gt;SI",COMPRAS!DD:DD,"=SI")+SUMIFS(COMPRAS!CA:CA,COMPRAS!BX:BX,V245,COMPRAS!CS:CS,"=01-REGIMEN GENERAL",COMPRAS!CX:CX,"&lt;&gt;SI",COMPRAS!DD:DD,"=SI")</f>
        <v>0</v>
      </c>
      <c r="AF245" s="954"/>
      <c r="AG245" s="954"/>
      <c r="AH245" s="954"/>
      <c r="AI245" s="206"/>
    </row>
    <row r="246" spans="1:35" ht="21" hidden="1" customHeight="1" outlineLevel="2" x14ac:dyDescent="0.35">
      <c r="A246" s="988"/>
      <c r="B246" s="989"/>
      <c r="C246" s="990"/>
      <c r="D246" s="15"/>
      <c r="E246" s="15"/>
      <c r="F246" s="15"/>
      <c r="G246" s="15"/>
      <c r="H246" s="15"/>
      <c r="I246" s="15"/>
      <c r="J246" s="15"/>
      <c r="K246" s="15"/>
      <c r="L246" s="15"/>
      <c r="M246" s="15"/>
      <c r="N246" s="15"/>
      <c r="O246" s="15"/>
      <c r="P246" s="15"/>
      <c r="Q246" s="15"/>
      <c r="R246" s="15"/>
      <c r="S246" s="15"/>
      <c r="T246" s="15"/>
      <c r="U246" s="229" t="s">
        <v>209</v>
      </c>
      <c r="V246" s="272">
        <v>515</v>
      </c>
      <c r="W246" s="225"/>
      <c r="X246" s="953">
        <f>SUMIFS(COMPRAS!BG:BG,COMPRAS!BF:BF,V246,COMPRAS!CS:CS,"=01-REGIMEN GENERAL",COMPRAS!CX:CX,"&lt;&gt;SI",COMPRAS!DD:DD,"=SI")+SUMIFS(COMPRAS!BP:BP,COMPRAS!BO:BO,V246,COMPRAS!CS:CS,"=01-REGIMEN GENERAL",COMPRAS!CX:CX,"&lt;&gt;SI",COMPRAS!DD:DD,"=SI")+SUMIFS(COMPRAS!BY:BY,COMPRAS!BX:BX,V246,COMPRAS!CS:CS,"=01-REGIMEN GENERAL",COMPRAS!CX:CX,"&lt;&gt;SI",COMPRAS!DD:DD,"=SI")</f>
        <v>0</v>
      </c>
      <c r="Y246" s="954"/>
      <c r="Z246" s="954"/>
      <c r="AA246" s="954"/>
      <c r="AB246" s="224"/>
      <c r="AC246" s="52"/>
      <c r="AD246" s="227"/>
      <c r="AE246" s="953">
        <f>SUMIFS(COMPRAS!BI:BI,COMPRAS!BF:BF,V246,COMPRAS!CS:CS,"=01-REGIMEN GENERAL",COMPRAS!CX:CX,"&lt;&gt;SI",COMPRAS!DD:DD,"=SI")+SUMIFS(COMPRAS!BR:BR,COMPRAS!BO:BO,V246,COMPRAS!CS:CS,"=01-REGIMEN GENERAL",COMPRAS!CX:CX,"&lt;&gt;SI",COMPRAS!DD:DD,"=SI")+SUMIFS(COMPRAS!CA:CA,COMPRAS!BX:BX,V246,COMPRAS!CS:CS,"=01-REGIMEN GENERAL",COMPRAS!CX:CX,"&lt;&gt;SI",COMPRAS!DD:DD,"=SI")</f>
        <v>0</v>
      </c>
      <c r="AF246" s="954"/>
      <c r="AG246" s="954"/>
      <c r="AH246" s="954"/>
      <c r="AI246" s="206"/>
    </row>
    <row r="247" spans="1:35" ht="21" hidden="1" customHeight="1" outlineLevel="2" x14ac:dyDescent="0.35">
      <c r="A247" s="988"/>
      <c r="B247" s="989"/>
      <c r="C247" s="990"/>
      <c r="D247" s="15"/>
      <c r="E247" s="15"/>
      <c r="F247" s="15"/>
      <c r="G247" s="15"/>
      <c r="H247" s="15"/>
      <c r="I247" s="15"/>
      <c r="J247" s="15"/>
      <c r="K247" s="15"/>
      <c r="L247" s="15"/>
      <c r="M247" s="15"/>
      <c r="N247" s="15"/>
      <c r="O247" s="15"/>
      <c r="P247" s="15"/>
      <c r="Q247" s="15"/>
      <c r="R247" s="15"/>
      <c r="S247" s="15"/>
      <c r="T247" s="15"/>
      <c r="U247" s="229" t="s">
        <v>210</v>
      </c>
      <c r="V247" s="272">
        <v>516</v>
      </c>
      <c r="W247" s="225"/>
      <c r="X247" s="953">
        <f>SUMIFS(COMPRAS!BG:BG,COMPRAS!BF:BF,V247,COMPRAS!CS:CS,"=01-REGIMEN GENERAL",COMPRAS!CX:CX,"&lt;&gt;SI",COMPRAS!DD:DD,"=SI")+SUMIFS(COMPRAS!BP:BP,COMPRAS!BO:BO,V247,COMPRAS!CS:CS,"=01-REGIMEN GENERAL",COMPRAS!CX:CX,"&lt;&gt;SI",COMPRAS!DD:DD,"=SI")+SUMIFS(COMPRAS!BY:BY,COMPRAS!BX:BX,V247,COMPRAS!CS:CS,"=01-REGIMEN GENERAL",COMPRAS!CX:CX,"&lt;&gt;SI",COMPRAS!DD:DD,"=SI")</f>
        <v>0</v>
      </c>
      <c r="Y247" s="954"/>
      <c r="Z247" s="954"/>
      <c r="AA247" s="954"/>
      <c r="AB247" s="224"/>
      <c r="AC247" s="52"/>
      <c r="AD247" s="227"/>
      <c r="AE247" s="953">
        <f>SUMIFS(COMPRAS!BI:BI,COMPRAS!BF:BF,V247,COMPRAS!CS:CS,"=01-REGIMEN GENERAL",COMPRAS!CX:CX,"&lt;&gt;SI",COMPRAS!DD:DD,"=SI")+SUMIFS(COMPRAS!BR:BR,COMPRAS!BO:BO,V247,COMPRAS!CS:CS,"=01-REGIMEN GENERAL",COMPRAS!CX:CX,"&lt;&gt;SI",COMPRAS!DD:DD,"=SI")+SUMIFS(COMPRAS!CA:CA,COMPRAS!BX:BX,V247,COMPRAS!CS:CS,"=01-REGIMEN GENERAL",COMPRAS!CX:CX,"&lt;&gt;SI",COMPRAS!DD:DD,"=SI")</f>
        <v>0</v>
      </c>
      <c r="AF247" s="954"/>
      <c r="AG247" s="954"/>
      <c r="AH247" s="954"/>
      <c r="AI247" s="206"/>
    </row>
    <row r="248" spans="1:35" ht="21" hidden="1" customHeight="1" outlineLevel="2" x14ac:dyDescent="0.35">
      <c r="A248" s="988"/>
      <c r="B248" s="989"/>
      <c r="C248" s="990"/>
      <c r="D248" s="15"/>
      <c r="E248" s="15"/>
      <c r="F248" s="15"/>
      <c r="G248" s="15"/>
      <c r="H248" s="15"/>
      <c r="I248" s="15"/>
      <c r="J248" s="15"/>
      <c r="K248" s="15"/>
      <c r="L248" s="15"/>
      <c r="M248" s="15"/>
      <c r="N248" s="15"/>
      <c r="O248" s="15"/>
      <c r="P248" s="15"/>
      <c r="Q248" s="15"/>
      <c r="R248" s="15"/>
      <c r="S248" s="15"/>
      <c r="T248" s="15"/>
      <c r="U248" s="229" t="s">
        <v>211</v>
      </c>
      <c r="V248" s="272">
        <v>517</v>
      </c>
      <c r="W248" s="225"/>
      <c r="X248" s="953">
        <f>SUMIFS(COMPRAS!BG:BG,COMPRAS!BF:BF,V248,COMPRAS!CS:CS,"=01-REGIMEN GENERAL",COMPRAS!CX:CX,"&lt;&gt;SI",COMPRAS!DD:DD,"=SI")+SUMIFS(COMPRAS!BP:BP,COMPRAS!BO:BO,V248,COMPRAS!CS:CS,"=01-REGIMEN GENERAL",COMPRAS!CX:CX,"&lt;&gt;SI",COMPRAS!DD:DD,"=SI")+SUMIFS(COMPRAS!BY:BY,COMPRAS!BX:BX,V248,COMPRAS!CS:CS,"=01-REGIMEN GENERAL",COMPRAS!CX:CX,"&lt;&gt;SI",COMPRAS!DD:DD,"=SI")</f>
        <v>0</v>
      </c>
      <c r="Y248" s="954"/>
      <c r="Z248" s="954"/>
      <c r="AA248" s="954"/>
      <c r="AB248" s="224"/>
      <c r="AC248" s="52"/>
      <c r="AD248" s="227"/>
      <c r="AE248" s="953">
        <f>SUMIFS(COMPRAS!BI:BI,COMPRAS!BF:BF,V248,COMPRAS!CS:CS,"=01-REGIMEN GENERAL",COMPRAS!CX:CX,"&lt;&gt;SI",COMPRAS!DD:DD,"=SI")+SUMIFS(COMPRAS!BR:BR,COMPRAS!BO:BO,V248,COMPRAS!CS:CS,"=01-REGIMEN GENERAL",COMPRAS!CX:CX,"&lt;&gt;SI",COMPRAS!DD:DD,"=SI")+SUMIFS(COMPRAS!CA:CA,COMPRAS!BX:BX,V248,COMPRAS!CS:CS,"=01-REGIMEN GENERAL",COMPRAS!CX:CX,"&lt;&gt;SI",COMPRAS!DD:DD,"=SI")</f>
        <v>0</v>
      </c>
      <c r="AF248" s="954"/>
      <c r="AG248" s="954"/>
      <c r="AH248" s="954"/>
      <c r="AI248" s="206"/>
    </row>
    <row r="249" spans="1:35" ht="21" hidden="1" customHeight="1" outlineLevel="2" x14ac:dyDescent="0.35">
      <c r="A249" s="988"/>
      <c r="B249" s="989"/>
      <c r="C249" s="990"/>
      <c r="D249" s="15"/>
      <c r="E249" s="15"/>
      <c r="F249" s="15"/>
      <c r="G249" s="15"/>
      <c r="H249" s="15"/>
      <c r="I249" s="15"/>
      <c r="J249" s="15"/>
      <c r="K249" s="15"/>
      <c r="L249" s="15"/>
      <c r="M249" s="15"/>
      <c r="N249" s="15"/>
      <c r="O249" s="15"/>
      <c r="P249" s="15"/>
      <c r="Q249" s="15"/>
      <c r="R249" s="15"/>
      <c r="S249" s="15"/>
      <c r="T249" s="15"/>
      <c r="U249" s="229" t="s">
        <v>212</v>
      </c>
      <c r="V249" s="272">
        <v>518</v>
      </c>
      <c r="W249" s="225"/>
      <c r="X249" s="953">
        <f>SUMIFS(COMPRAS!BG:BG,COMPRAS!BF:BF,V249,COMPRAS!CS:CS,"=01-REGIMEN GENERAL",COMPRAS!CX:CX,"&lt;&gt;SI",COMPRAS!DD:DD,"=SI")+SUMIFS(COMPRAS!BP:BP,COMPRAS!BO:BO,V249,COMPRAS!CS:CS,"=01-REGIMEN GENERAL",COMPRAS!CX:CX,"&lt;&gt;SI",COMPRAS!DD:DD,"=SI")+SUMIFS(COMPRAS!BY:BY,COMPRAS!BX:BX,V249,COMPRAS!CS:CS,"=01-REGIMEN GENERAL",COMPRAS!CX:CX,"&lt;&gt;SI",COMPRAS!DD:DD,"=SI")</f>
        <v>0</v>
      </c>
      <c r="Y249" s="954"/>
      <c r="Z249" s="954"/>
      <c r="AA249" s="954"/>
      <c r="AB249" s="224"/>
      <c r="AC249" s="52"/>
      <c r="AD249" s="227"/>
      <c r="AE249" s="953">
        <f>SUMIFS(COMPRAS!BI:BI,COMPRAS!BF:BF,V249,COMPRAS!CS:CS,"=01-REGIMEN GENERAL",COMPRAS!CX:CX,"&lt;&gt;SI",COMPRAS!DD:DD,"=SI")+SUMIFS(COMPRAS!BR:BR,COMPRAS!BO:BO,V249,COMPRAS!CS:CS,"=01-REGIMEN GENERAL",COMPRAS!CX:CX,"&lt;&gt;SI",COMPRAS!DD:DD,"=SI")+SUMIFS(COMPRAS!CA:CA,COMPRAS!BX:BX,V249,COMPRAS!CS:CS,"=01-REGIMEN GENERAL",COMPRAS!CX:CX,"&lt;&gt;SI",COMPRAS!DD:DD,"=SI")</f>
        <v>0</v>
      </c>
      <c r="AF249" s="954"/>
      <c r="AG249" s="954"/>
      <c r="AH249" s="954"/>
      <c r="AI249" s="206"/>
    </row>
    <row r="250" spans="1:35" ht="21" hidden="1" customHeight="1" outlineLevel="2" x14ac:dyDescent="0.35">
      <c r="A250" s="988"/>
      <c r="B250" s="989"/>
      <c r="C250" s="990"/>
      <c r="D250" s="15"/>
      <c r="E250" s="15"/>
      <c r="F250" s="15"/>
      <c r="G250" s="15"/>
      <c r="H250" s="15"/>
      <c r="I250" s="15"/>
      <c r="J250" s="15"/>
      <c r="K250" s="15"/>
      <c r="L250" s="15"/>
      <c r="M250" s="15"/>
      <c r="N250" s="15"/>
      <c r="O250" s="15"/>
      <c r="P250" s="15"/>
      <c r="Q250" s="15"/>
      <c r="R250" s="15"/>
      <c r="S250" s="15"/>
      <c r="T250" s="15"/>
      <c r="U250" s="229" t="s">
        <v>213</v>
      </c>
      <c r="V250" s="272">
        <v>519</v>
      </c>
      <c r="W250" s="225"/>
      <c r="X250" s="953">
        <f>SUMIFS(COMPRAS!BG:BG,COMPRAS!BF:BF,V250,COMPRAS!CS:CS,"=01-REGIMEN GENERAL",COMPRAS!CX:CX,"&lt;&gt;SI",COMPRAS!DD:DD,"=SI")+SUMIFS(COMPRAS!BP:BP,COMPRAS!BO:BO,V250,COMPRAS!CS:CS,"=01-REGIMEN GENERAL",COMPRAS!CX:CX,"&lt;&gt;SI",COMPRAS!DD:DD,"=SI")+SUMIFS(COMPRAS!BY:BY,COMPRAS!BX:BX,V250,COMPRAS!CS:CS,"=01-REGIMEN GENERAL",COMPRAS!CX:CX,"&lt;&gt;SI",COMPRAS!DD:DD,"=SI")</f>
        <v>0</v>
      </c>
      <c r="Y250" s="954"/>
      <c r="Z250" s="954"/>
      <c r="AA250" s="954"/>
      <c r="AB250" s="224"/>
      <c r="AC250" s="52"/>
      <c r="AD250" s="227"/>
      <c r="AE250" s="953">
        <f>SUMIFS(COMPRAS!BI:BI,COMPRAS!BF:BF,V250,COMPRAS!CS:CS,"=01-REGIMEN GENERAL",COMPRAS!CX:CX,"&lt;&gt;SI",COMPRAS!DD:DD,"=SI")+SUMIFS(COMPRAS!BR:BR,COMPRAS!BO:BO,V250,COMPRAS!CS:CS,"=01-REGIMEN GENERAL",COMPRAS!CX:CX,"&lt;&gt;SI",COMPRAS!DD:DD,"=SI")+SUMIFS(COMPRAS!CA:CA,COMPRAS!BX:BX,V250,COMPRAS!CS:CS,"=01-REGIMEN GENERAL",COMPRAS!CX:CX,"&lt;&gt;SI",COMPRAS!DD:DD,"=SI")</f>
        <v>0</v>
      </c>
      <c r="AF250" s="954"/>
      <c r="AG250" s="954"/>
      <c r="AH250" s="954"/>
      <c r="AI250" s="206"/>
    </row>
    <row r="251" spans="1:35" ht="21" hidden="1" customHeight="1" outlineLevel="2" x14ac:dyDescent="0.35">
      <c r="A251" s="988"/>
      <c r="B251" s="989"/>
      <c r="C251" s="990"/>
      <c r="D251" s="15"/>
      <c r="E251" s="15"/>
      <c r="F251" s="15"/>
      <c r="G251" s="15"/>
      <c r="H251" s="15"/>
      <c r="I251" s="15"/>
      <c r="J251" s="15"/>
      <c r="K251" s="15"/>
      <c r="L251" s="15"/>
      <c r="M251" s="15"/>
      <c r="N251" s="15"/>
      <c r="O251" s="15"/>
      <c r="P251" s="15"/>
      <c r="Q251" s="15"/>
      <c r="R251" s="15"/>
      <c r="S251" s="15"/>
      <c r="T251" s="15"/>
      <c r="U251" s="229" t="s">
        <v>1070</v>
      </c>
      <c r="V251" s="272">
        <v>525</v>
      </c>
      <c r="W251" s="225"/>
      <c r="X251" s="953">
        <f>SUMIFS(COMPRAS!BG:BG,COMPRAS!BF:BF,V251,COMPRAS!CS:CS,"=01-REGIMEN GENERAL",COMPRAS!CX:CX,"&lt;&gt;SI",COMPRAS!DD:DD,"=SI")+SUMIFS(COMPRAS!BP:BP,COMPRAS!BO:BO,V251,COMPRAS!CS:CS,"=01-REGIMEN GENERAL",COMPRAS!CX:CX,"&lt;&gt;SI",COMPRAS!DD:DD,"=SI")+SUMIFS(COMPRAS!BY:BY,COMPRAS!BX:BX,V251,COMPRAS!CS:CS,"=01-REGIMEN GENERAL",COMPRAS!CX:CX,"&lt;&gt;SI",COMPRAS!DD:DD,"=SI")</f>
        <v>0</v>
      </c>
      <c r="Y251" s="954"/>
      <c r="Z251" s="954"/>
      <c r="AA251" s="954"/>
      <c r="AB251" s="224"/>
      <c r="AC251" s="52"/>
      <c r="AD251" s="227"/>
      <c r="AE251" s="953">
        <f>SUMIFS(COMPRAS!BI:BI,COMPRAS!BF:BF,V251,COMPRAS!CS:CS,"=01-REGIMEN GENERAL",COMPRAS!CX:CX,"&lt;&gt;SI",COMPRAS!DD:DD,"=SI")+SUMIFS(COMPRAS!BR:BR,COMPRAS!BO:BO,V251,COMPRAS!CS:CS,"=01-REGIMEN GENERAL",COMPRAS!CX:CX,"&lt;&gt;SI",COMPRAS!DD:DD,"=SI")+SUMIFS(COMPRAS!CA:CA,COMPRAS!BX:BX,V251,COMPRAS!CS:CS,"=01-REGIMEN GENERAL",COMPRAS!CX:CX,"&lt;&gt;SI",COMPRAS!DD:DD,"=SI")</f>
        <v>0</v>
      </c>
      <c r="AF251" s="954"/>
      <c r="AG251" s="954"/>
      <c r="AH251" s="954"/>
      <c r="AI251" s="206"/>
    </row>
    <row r="252" spans="1:35" ht="21" hidden="1" customHeight="1" outlineLevel="2" x14ac:dyDescent="0.35">
      <c r="A252" s="988"/>
      <c r="B252" s="989"/>
      <c r="C252" s="990"/>
      <c r="D252" s="15"/>
      <c r="E252" s="15"/>
      <c r="F252" s="15"/>
      <c r="G252" s="15"/>
      <c r="H252" s="15"/>
      <c r="I252" s="15"/>
      <c r="J252" s="15"/>
      <c r="K252" s="15"/>
      <c r="L252" s="15"/>
      <c r="M252" s="15"/>
      <c r="N252" s="15"/>
      <c r="O252" s="15"/>
      <c r="P252" s="15"/>
      <c r="Q252" s="15"/>
      <c r="R252" s="15"/>
      <c r="S252" s="15"/>
      <c r="T252" s="15"/>
      <c r="U252" s="229" t="s">
        <v>196</v>
      </c>
      <c r="V252" s="272" t="s">
        <v>195</v>
      </c>
      <c r="W252" s="225"/>
      <c r="X252" s="953">
        <f>SUMIFS(COMPRAS!BG:BG,COMPRAS!BF:BF,V252,COMPRAS!CS:CS,"=01-REGIMEN GENERAL",COMPRAS!CX:CX,"&lt;&gt;SI",COMPRAS!DD:DD,"=SI")+SUMIFS(COMPRAS!BP:BP,COMPRAS!BO:BO,V252,COMPRAS!CS:CS,"=01-REGIMEN GENERAL",COMPRAS!CX:CX,"&lt;&gt;SI",COMPRAS!DD:DD,"=SI")+SUMIFS(COMPRAS!BY:BY,COMPRAS!BX:BX,V252,COMPRAS!CS:CS,"=01-REGIMEN GENERAL",COMPRAS!CX:CX,"&lt;&gt;SI",COMPRAS!DD:DD,"=SI")</f>
        <v>0</v>
      </c>
      <c r="Y252" s="954"/>
      <c r="Z252" s="954"/>
      <c r="AA252" s="954"/>
      <c r="AB252" s="224"/>
      <c r="AC252" s="52"/>
      <c r="AD252" s="227"/>
      <c r="AE252" s="953">
        <f>SUMIFS(COMPRAS!BI:BI,COMPRAS!BF:BF,V252,COMPRAS!CS:CS,"=01-REGIMEN GENERAL",COMPRAS!CX:CX,"&lt;&gt;SI",COMPRAS!DD:DD,"=SI")+SUMIFS(COMPRAS!BR:BR,COMPRAS!BO:BO,V252,COMPRAS!CS:CS,"=01-REGIMEN GENERAL",COMPRAS!CX:CX,"&lt;&gt;SI",COMPRAS!DD:DD,"=SI")+SUMIFS(COMPRAS!CA:CA,COMPRAS!BX:BX,V252,COMPRAS!CS:CS,"=01-REGIMEN GENERAL",COMPRAS!CX:CX,"&lt;&gt;SI",COMPRAS!DD:DD,"=SI")</f>
        <v>0</v>
      </c>
      <c r="AF252" s="954"/>
      <c r="AG252" s="954"/>
      <c r="AH252" s="954"/>
      <c r="AI252" s="206"/>
    </row>
    <row r="253" spans="1:35" ht="21" hidden="1" customHeight="1" outlineLevel="2" x14ac:dyDescent="0.35">
      <c r="A253" s="988"/>
      <c r="B253" s="989"/>
      <c r="C253" s="990"/>
      <c r="D253" s="15"/>
      <c r="E253" s="15"/>
      <c r="F253" s="15"/>
      <c r="G253" s="15"/>
      <c r="H253" s="15"/>
      <c r="I253" s="15"/>
      <c r="J253" s="15"/>
      <c r="K253" s="15"/>
      <c r="L253" s="15"/>
      <c r="M253" s="15"/>
      <c r="N253" s="15"/>
      <c r="O253" s="15"/>
      <c r="P253" s="15"/>
      <c r="Q253" s="15"/>
      <c r="R253" s="15"/>
      <c r="S253" s="15"/>
      <c r="T253" s="15"/>
      <c r="U253" s="229" t="s">
        <v>198</v>
      </c>
      <c r="V253" s="272" t="s">
        <v>197</v>
      </c>
      <c r="W253" s="225"/>
      <c r="X253" s="953">
        <f>SUMIFS(COMPRAS!BG:BG,COMPRAS!BF:BF,V253,COMPRAS!CS:CS,"=01-REGIMEN GENERAL",COMPRAS!CX:CX,"&lt;&gt;SI",COMPRAS!DD:DD,"=SI")+SUMIFS(COMPRAS!BP:BP,COMPRAS!BO:BO,V253,COMPRAS!CS:CS,"=01-REGIMEN GENERAL",COMPRAS!CX:CX,"&lt;&gt;SI",COMPRAS!DD:DD,"=SI")+SUMIFS(COMPRAS!BY:BY,COMPRAS!BX:BX,V253,COMPRAS!CS:CS,"=01-REGIMEN GENERAL",COMPRAS!CX:CX,"&lt;&gt;SI",COMPRAS!DD:DD,"=SI")</f>
        <v>0</v>
      </c>
      <c r="Y253" s="954"/>
      <c r="Z253" s="954"/>
      <c r="AA253" s="954"/>
      <c r="AB253" s="224"/>
      <c r="AC253" s="52"/>
      <c r="AD253" s="227"/>
      <c r="AE253" s="953">
        <f>SUMIFS(COMPRAS!BI:BI,COMPRAS!BF:BF,V253,COMPRAS!CS:CS,"=01-REGIMEN GENERAL",COMPRAS!CX:CX,"&lt;&gt;SI",COMPRAS!DD:DD,"=SI")+SUMIFS(COMPRAS!BR:BR,COMPRAS!BO:BO,V253,COMPRAS!CS:CS,"=01-REGIMEN GENERAL",COMPRAS!CX:CX,"&lt;&gt;SI",COMPRAS!DD:DD,"=SI")+SUMIFS(COMPRAS!CA:CA,COMPRAS!BX:BX,V253,COMPRAS!CS:CS,"=01-REGIMEN GENERAL",COMPRAS!CX:CX,"&lt;&gt;SI",COMPRAS!DD:DD,"=SI")</f>
        <v>0</v>
      </c>
      <c r="AF253" s="954"/>
      <c r="AG253" s="954"/>
      <c r="AH253" s="954"/>
      <c r="AI253" s="206"/>
    </row>
    <row r="254" spans="1:35" ht="21" hidden="1" customHeight="1" outlineLevel="2" x14ac:dyDescent="0.35">
      <c r="A254" s="988"/>
      <c r="B254" s="989"/>
      <c r="C254" s="990"/>
      <c r="D254" s="15"/>
      <c r="E254" s="15"/>
      <c r="F254" s="15"/>
      <c r="G254" s="15"/>
      <c r="H254" s="15"/>
      <c r="I254" s="15"/>
      <c r="J254" s="15"/>
      <c r="K254" s="15"/>
      <c r="L254" s="15"/>
      <c r="M254" s="15"/>
      <c r="N254" s="15"/>
      <c r="O254" s="15"/>
      <c r="P254" s="15"/>
      <c r="Q254" s="15"/>
      <c r="R254" s="15"/>
      <c r="S254" s="15"/>
      <c r="T254" s="15"/>
      <c r="U254" s="229" t="s">
        <v>201</v>
      </c>
      <c r="V254" s="272" t="s">
        <v>200</v>
      </c>
      <c r="W254" s="225"/>
      <c r="X254" s="953">
        <f>SUMIFS(COMPRAS!BG:BG,COMPRAS!BF:BF,V254,COMPRAS!CS:CS,"=01-REGIMEN GENERAL",COMPRAS!CX:CX,"&lt;&gt;SI",COMPRAS!DD:DD,"=SI")+SUMIFS(COMPRAS!BP:BP,COMPRAS!BO:BO,V254,COMPRAS!CS:CS,"=01-REGIMEN GENERAL",COMPRAS!CX:CX,"&lt;&gt;SI",COMPRAS!DD:DD,"=SI")+SUMIFS(COMPRAS!BY:BY,COMPRAS!BX:BX,V254,COMPRAS!CS:CS,"=01-REGIMEN GENERAL",COMPRAS!CX:CX,"&lt;&gt;SI",COMPRAS!DD:DD,"=SI")</f>
        <v>0</v>
      </c>
      <c r="Y254" s="954"/>
      <c r="Z254" s="954"/>
      <c r="AA254" s="954"/>
      <c r="AB254" s="224"/>
      <c r="AC254" s="52"/>
      <c r="AD254" s="227"/>
      <c r="AE254" s="953">
        <f>SUMIFS(COMPRAS!BI:BI,COMPRAS!BF:BF,V254,COMPRAS!CS:CS,"=01-REGIMEN GENERAL",COMPRAS!CX:CX,"&lt;&gt;SI",COMPRAS!DD:DD,"=SI")+SUMIFS(COMPRAS!BR:BR,COMPRAS!BO:BO,V254,COMPRAS!CS:CS,"=01-REGIMEN GENERAL",COMPRAS!CX:CX,"&lt;&gt;SI",COMPRAS!DD:DD,"=SI")+SUMIFS(COMPRAS!CA:CA,COMPRAS!BX:BX,V254,COMPRAS!CS:CS,"=01-REGIMEN GENERAL",COMPRAS!CX:CX,"&lt;&gt;SI",COMPRAS!DD:DD,"=SI")</f>
        <v>0</v>
      </c>
      <c r="AF254" s="954"/>
      <c r="AG254" s="954"/>
      <c r="AH254" s="954"/>
      <c r="AI254" s="206"/>
    </row>
    <row r="255" spans="1:35" ht="21" hidden="1" customHeight="1" outlineLevel="2" x14ac:dyDescent="0.35">
      <c r="A255" s="988"/>
      <c r="B255" s="989"/>
      <c r="C255" s="990"/>
      <c r="D255" s="15"/>
      <c r="E255" s="15"/>
      <c r="F255" s="15"/>
      <c r="G255" s="15"/>
      <c r="H255" s="15"/>
      <c r="I255" s="15"/>
      <c r="J255" s="15"/>
      <c r="K255" s="15"/>
      <c r="L255" s="15"/>
      <c r="M255" s="15"/>
      <c r="N255" s="15"/>
      <c r="O255" s="15"/>
      <c r="P255" s="15"/>
      <c r="Q255" s="15"/>
      <c r="R255" s="15"/>
      <c r="S255" s="15"/>
      <c r="T255" s="15"/>
      <c r="U255" s="229" t="s">
        <v>207</v>
      </c>
      <c r="V255" s="272" t="s">
        <v>206</v>
      </c>
      <c r="W255" s="225"/>
      <c r="X255" s="953">
        <f>SUMIFS(COMPRAS!BG:BG,COMPRAS!BF:BF,V255,COMPRAS!CS:CS,"=01-REGIMEN GENERAL",COMPRAS!CX:CX,"&lt;&gt;SI",COMPRAS!DD:DD,"=SI")+SUMIFS(COMPRAS!BP:BP,COMPRAS!BO:BO,V255,COMPRAS!CS:CS,"=01-REGIMEN GENERAL",COMPRAS!CX:CX,"&lt;&gt;SI",COMPRAS!DD:DD,"=SI")+SUMIFS(COMPRAS!BY:BY,COMPRAS!BX:BX,V255,COMPRAS!CS:CS,"=01-REGIMEN GENERAL",COMPRAS!CX:CX,"&lt;&gt;SI",COMPRAS!DD:DD,"=SI")</f>
        <v>0</v>
      </c>
      <c r="Y255" s="954"/>
      <c r="Z255" s="954"/>
      <c r="AA255" s="954"/>
      <c r="AB255" s="224"/>
      <c r="AC255" s="52"/>
      <c r="AD255" s="227"/>
      <c r="AE255" s="953">
        <f>SUMIFS(COMPRAS!BI:BI,COMPRAS!BF:BF,V255,COMPRAS!CS:CS,"=01-REGIMEN GENERAL",COMPRAS!CX:CX,"&lt;&gt;SI",COMPRAS!DD:DD,"=SI")+SUMIFS(COMPRAS!BR:BR,COMPRAS!BO:BO,V255,COMPRAS!CS:CS,"=01-REGIMEN GENERAL",COMPRAS!CX:CX,"&lt;&gt;SI",COMPRAS!DD:DD,"=SI")+SUMIFS(COMPRAS!CA:CA,COMPRAS!BX:BX,V255,COMPRAS!CS:CS,"=01-REGIMEN GENERAL",COMPRAS!CX:CX,"&lt;&gt;SI",COMPRAS!DD:DD,"=SI")</f>
        <v>0</v>
      </c>
      <c r="AF255" s="954"/>
      <c r="AG255" s="954"/>
      <c r="AH255" s="954"/>
      <c r="AI255" s="206"/>
    </row>
    <row r="256" spans="1:35" ht="21" hidden="1" customHeight="1" outlineLevel="2" x14ac:dyDescent="0.35">
      <c r="A256" s="988"/>
      <c r="B256" s="989"/>
      <c r="C256" s="990"/>
      <c r="D256" s="15"/>
      <c r="E256" s="15"/>
      <c r="F256" s="15"/>
      <c r="G256" s="15"/>
      <c r="H256" s="15"/>
      <c r="I256" s="15"/>
      <c r="J256" s="15"/>
      <c r="K256" s="15"/>
      <c r="L256" s="15"/>
      <c r="M256" s="15"/>
      <c r="N256" s="15"/>
      <c r="O256" s="15"/>
      <c r="P256" s="15"/>
      <c r="Q256" s="15"/>
      <c r="R256" s="15"/>
      <c r="S256" s="15"/>
      <c r="T256" s="15"/>
      <c r="U256" s="229" t="s">
        <v>215</v>
      </c>
      <c r="V256" s="272" t="s">
        <v>214</v>
      </c>
      <c r="W256" s="225"/>
      <c r="X256" s="953">
        <f>SUMIFS(COMPRAS!BG:BG,COMPRAS!BF:BF,V256,COMPRAS!CS:CS,"=01-REGIMEN GENERAL",COMPRAS!CX:CX,"&lt;&gt;SI",COMPRAS!DD:DD,"=SI")+SUMIFS(COMPRAS!BP:BP,COMPRAS!BO:BO,V256,COMPRAS!CS:CS,"=01-REGIMEN GENERAL",COMPRAS!CX:CX,"&lt;&gt;SI",COMPRAS!DD:DD,"=SI")+SUMIFS(COMPRAS!BY:BY,COMPRAS!BX:BX,V256,COMPRAS!CS:CS,"=01-REGIMEN GENERAL",COMPRAS!CX:CX,"&lt;&gt;SI",COMPRAS!DD:DD,"=SI")</f>
        <v>0</v>
      </c>
      <c r="Y256" s="954"/>
      <c r="Z256" s="954"/>
      <c r="AA256" s="954"/>
      <c r="AB256" s="224"/>
      <c r="AC256" s="52"/>
      <c r="AD256" s="227"/>
      <c r="AE256" s="953">
        <f>SUMIFS(COMPRAS!BI:BI,COMPRAS!BF:BF,V256,COMPRAS!CS:CS,"=01-REGIMEN GENERAL",COMPRAS!CX:CX,"&lt;&gt;SI",COMPRAS!DD:DD,"=SI")+SUMIFS(COMPRAS!BR:BR,COMPRAS!BO:BO,V256,COMPRAS!CS:CS,"=01-REGIMEN GENERAL",COMPRAS!CX:CX,"&lt;&gt;SI",COMPRAS!DD:DD,"=SI")+SUMIFS(COMPRAS!CA:CA,COMPRAS!BX:BX,V256,COMPRAS!CS:CS,"=01-REGIMEN GENERAL",COMPRAS!CX:CX,"&lt;&gt;SI",COMPRAS!DD:DD,"=SI")</f>
        <v>0</v>
      </c>
      <c r="AF256" s="954"/>
      <c r="AG256" s="954"/>
      <c r="AH256" s="954"/>
      <c r="AI256" s="206"/>
    </row>
    <row r="257" spans="1:37" ht="21" hidden="1" customHeight="1" outlineLevel="2" x14ac:dyDescent="0.35">
      <c r="A257" s="988"/>
      <c r="B257" s="989"/>
      <c r="C257" s="990"/>
      <c r="D257" s="15"/>
      <c r="E257" s="15"/>
      <c r="F257" s="15"/>
      <c r="G257" s="15"/>
      <c r="H257" s="15"/>
      <c r="I257" s="15"/>
      <c r="J257" s="15"/>
      <c r="K257" s="15"/>
      <c r="L257" s="15"/>
      <c r="M257" s="15"/>
      <c r="N257" s="15"/>
      <c r="O257" s="15"/>
      <c r="P257" s="15"/>
      <c r="Q257" s="15"/>
      <c r="R257" s="15"/>
      <c r="S257" s="15"/>
      <c r="T257" s="15"/>
      <c r="U257" s="229" t="s">
        <v>217</v>
      </c>
      <c r="V257" s="272" t="s">
        <v>216</v>
      </c>
      <c r="W257" s="225"/>
      <c r="X257" s="953">
        <f>SUMIFS(COMPRAS!BG:BG,COMPRAS!BF:BF,V257,COMPRAS!CS:CS,"=01-REGIMEN GENERAL",COMPRAS!CX:CX,"&lt;&gt;SI",COMPRAS!DD:DD,"=SI")+SUMIFS(COMPRAS!BP:BP,COMPRAS!BO:BO,V257,COMPRAS!CS:CS,"=01-REGIMEN GENERAL",COMPRAS!CX:CX,"&lt;&gt;SI",COMPRAS!DD:DD,"=SI")+SUMIFS(COMPRAS!BY:BY,COMPRAS!BX:BX,V257,COMPRAS!CS:CS,"=01-REGIMEN GENERAL",COMPRAS!CX:CX,"&lt;&gt;SI",COMPRAS!DD:DD,"=SI")</f>
        <v>0</v>
      </c>
      <c r="Y257" s="954"/>
      <c r="Z257" s="954"/>
      <c r="AA257" s="954"/>
      <c r="AB257" s="224"/>
      <c r="AC257" s="52"/>
      <c r="AD257" s="227"/>
      <c r="AE257" s="953">
        <f>SUMIFS(COMPRAS!BI:BI,COMPRAS!BF:BF,V257,COMPRAS!CS:CS,"=01-REGIMEN GENERAL",COMPRAS!CX:CX,"&lt;&gt;SI",COMPRAS!DD:DD,"=SI")+SUMIFS(COMPRAS!BR:BR,COMPRAS!BO:BO,V257,COMPRAS!CS:CS,"=01-REGIMEN GENERAL",COMPRAS!CX:CX,"&lt;&gt;SI",COMPRAS!DD:DD,"=SI")+SUMIFS(COMPRAS!CA:CA,COMPRAS!BX:BX,V257,COMPRAS!CS:CS,"=01-REGIMEN GENERAL",COMPRAS!CX:CX,"&lt;&gt;SI",COMPRAS!DD:DD,"=SI")</f>
        <v>0</v>
      </c>
      <c r="AF257" s="954"/>
      <c r="AG257" s="954"/>
      <c r="AH257" s="954"/>
      <c r="AI257" s="206"/>
    </row>
    <row r="258" spans="1:37" ht="21" hidden="1" customHeight="1" outlineLevel="2" x14ac:dyDescent="0.35">
      <c r="A258" s="988"/>
      <c r="B258" s="989"/>
      <c r="C258" s="990"/>
      <c r="D258" s="15"/>
      <c r="E258" s="15"/>
      <c r="F258" s="15"/>
      <c r="G258" s="15"/>
      <c r="H258" s="15"/>
      <c r="I258" s="15"/>
      <c r="J258" s="15"/>
      <c r="K258" s="15"/>
      <c r="L258" s="15"/>
      <c r="M258" s="15"/>
      <c r="N258" s="15"/>
      <c r="O258" s="15"/>
      <c r="P258" s="15"/>
      <c r="Q258" s="15"/>
      <c r="R258" s="15"/>
      <c r="S258" s="15"/>
      <c r="T258" s="15"/>
      <c r="U258" s="229" t="s">
        <v>219</v>
      </c>
      <c r="V258" s="272" t="s">
        <v>218</v>
      </c>
      <c r="W258" s="225"/>
      <c r="X258" s="953">
        <f>SUMIFS(COMPRAS!BG:BG,COMPRAS!BF:BF,V258,COMPRAS!CS:CS,"=01-REGIMEN GENERAL",COMPRAS!CX:CX,"&lt;&gt;SI",COMPRAS!DD:DD,"=SI")+SUMIFS(COMPRAS!BP:BP,COMPRAS!BO:BO,V258,COMPRAS!CS:CS,"=01-REGIMEN GENERAL",COMPRAS!CX:CX,"&lt;&gt;SI",COMPRAS!DD:DD,"=SI")+SUMIFS(COMPRAS!BY:BY,COMPRAS!BX:BX,V258,COMPRAS!CS:CS,"=01-REGIMEN GENERAL",COMPRAS!CX:CX,"&lt;&gt;SI",COMPRAS!DD:DD,"=SI")</f>
        <v>0</v>
      </c>
      <c r="Y258" s="954"/>
      <c r="Z258" s="954"/>
      <c r="AA258" s="954"/>
      <c r="AB258" s="224"/>
      <c r="AC258" s="52"/>
      <c r="AD258" s="227"/>
      <c r="AE258" s="953">
        <f>SUMIFS(COMPRAS!BI:BI,COMPRAS!BF:BF,V258,COMPRAS!CS:CS,"=01-REGIMEN GENERAL",COMPRAS!CX:CX,"&lt;&gt;SI",COMPRAS!DD:DD,"=SI")+SUMIFS(COMPRAS!BR:BR,COMPRAS!BO:BO,V258,COMPRAS!CS:CS,"=01-REGIMEN GENERAL",COMPRAS!CX:CX,"&lt;&gt;SI",COMPRAS!DD:DD,"=SI")+SUMIFS(COMPRAS!CA:CA,COMPRAS!BX:BX,V258,COMPRAS!CS:CS,"=01-REGIMEN GENERAL",COMPRAS!CX:CX,"&lt;&gt;SI",COMPRAS!DD:DD,"=SI")</f>
        <v>0</v>
      </c>
      <c r="AF258" s="954"/>
      <c r="AG258" s="954"/>
      <c r="AH258" s="954"/>
      <c r="AI258" s="206"/>
    </row>
    <row r="259" spans="1:37" ht="21" hidden="1" customHeight="1" outlineLevel="2" x14ac:dyDescent="0.35">
      <c r="A259" s="988"/>
      <c r="B259" s="989"/>
      <c r="C259" s="990"/>
      <c r="D259" s="15"/>
      <c r="E259" s="15"/>
      <c r="F259" s="15"/>
      <c r="G259" s="15"/>
      <c r="H259" s="15"/>
      <c r="I259" s="15"/>
      <c r="J259" s="15"/>
      <c r="K259" s="15"/>
      <c r="L259" s="15"/>
      <c r="M259" s="15"/>
      <c r="N259" s="15"/>
      <c r="O259" s="15"/>
      <c r="P259" s="15"/>
      <c r="Q259" s="15"/>
      <c r="R259" s="15"/>
      <c r="S259" s="15"/>
      <c r="T259" s="15"/>
      <c r="U259" s="229" t="s">
        <v>221</v>
      </c>
      <c r="V259" s="272" t="s">
        <v>220</v>
      </c>
      <c r="W259" s="225"/>
      <c r="X259" s="953">
        <f>SUMIFS(COMPRAS!BG:BG,COMPRAS!BF:BF,V259,COMPRAS!CS:CS,"=01-REGIMEN GENERAL",COMPRAS!CX:CX,"&lt;&gt;SI",COMPRAS!DD:DD,"=SI")+SUMIFS(COMPRAS!BP:BP,COMPRAS!BO:BO,V259,COMPRAS!CS:CS,"=01-REGIMEN GENERAL",COMPRAS!CX:CX,"&lt;&gt;SI",COMPRAS!DD:DD,"=SI")+SUMIFS(COMPRAS!BY:BY,COMPRAS!BX:BX,V259,COMPRAS!CS:CS,"=01-REGIMEN GENERAL",COMPRAS!CX:CX,"&lt;&gt;SI",COMPRAS!DD:DD,"=SI")</f>
        <v>0</v>
      </c>
      <c r="Y259" s="954"/>
      <c r="Z259" s="954"/>
      <c r="AA259" s="954"/>
      <c r="AB259" s="224"/>
      <c r="AC259" s="52"/>
      <c r="AD259" s="227"/>
      <c r="AE259" s="953">
        <f>SUMIFS(COMPRAS!BI:BI,COMPRAS!BF:BF,V259,COMPRAS!CS:CS,"=01-REGIMEN GENERAL",COMPRAS!CX:CX,"&lt;&gt;SI",COMPRAS!DD:DD,"=SI")+SUMIFS(COMPRAS!BR:BR,COMPRAS!BO:BO,V259,COMPRAS!CS:CS,"=01-REGIMEN GENERAL",COMPRAS!CX:CX,"&lt;&gt;SI",COMPRAS!DD:DD,"=SI")+SUMIFS(COMPRAS!CA:CA,COMPRAS!BX:BX,V259,COMPRAS!CS:CS,"=01-REGIMEN GENERAL",COMPRAS!CX:CX,"&lt;&gt;SI",COMPRAS!DD:DD,"=SI")</f>
        <v>0</v>
      </c>
      <c r="AF259" s="954"/>
      <c r="AG259" s="954"/>
      <c r="AH259" s="954"/>
      <c r="AI259" s="206"/>
    </row>
    <row r="260" spans="1:37" ht="21" hidden="1" customHeight="1" outlineLevel="2" x14ac:dyDescent="0.35">
      <c r="A260" s="988"/>
      <c r="B260" s="989"/>
      <c r="C260" s="990"/>
      <c r="D260" s="15"/>
      <c r="E260" s="15"/>
      <c r="F260" s="15"/>
      <c r="G260" s="15"/>
      <c r="H260" s="15"/>
      <c r="I260" s="15"/>
      <c r="J260" s="15"/>
      <c r="K260" s="15"/>
      <c r="L260" s="15"/>
      <c r="M260" s="15"/>
      <c r="N260" s="15"/>
      <c r="O260" s="15"/>
      <c r="P260" s="15"/>
      <c r="Q260" s="15"/>
      <c r="R260" s="15"/>
      <c r="S260" s="15"/>
      <c r="T260" s="15"/>
      <c r="U260" s="229" t="s">
        <v>223</v>
      </c>
      <c r="V260" s="272" t="s">
        <v>222</v>
      </c>
      <c r="W260" s="225"/>
      <c r="X260" s="953">
        <f>SUMIFS(COMPRAS!BG:BG,COMPRAS!BF:BF,V260,COMPRAS!CS:CS,"=01-REGIMEN GENERAL",COMPRAS!CX:CX,"&lt;&gt;SI",COMPRAS!DD:DD,"=SI")+SUMIFS(COMPRAS!BP:BP,COMPRAS!BO:BO,V260,COMPRAS!CS:CS,"=01-REGIMEN GENERAL",COMPRAS!CX:CX,"&lt;&gt;SI",COMPRAS!DD:DD,"=SI")+SUMIFS(COMPRAS!BY:BY,COMPRAS!BX:BX,V260,COMPRAS!CS:CS,"=01-REGIMEN GENERAL",COMPRAS!CX:CX,"&lt;&gt;SI",COMPRAS!DD:DD,"=SI")</f>
        <v>0</v>
      </c>
      <c r="Y260" s="954"/>
      <c r="Z260" s="954"/>
      <c r="AA260" s="954"/>
      <c r="AB260" s="224"/>
      <c r="AC260" s="52"/>
      <c r="AD260" s="227"/>
      <c r="AE260" s="953">
        <f>SUMIFS(COMPRAS!BI:BI,COMPRAS!BF:BF,V260,COMPRAS!CS:CS,"=01-REGIMEN GENERAL",COMPRAS!CX:CX,"&lt;&gt;SI",COMPRAS!DD:DD,"=SI")+SUMIFS(COMPRAS!BR:BR,COMPRAS!BO:BO,V260,COMPRAS!CS:CS,"=01-REGIMEN GENERAL",COMPRAS!CX:CX,"&lt;&gt;SI",COMPRAS!DD:DD,"=SI")+SUMIFS(COMPRAS!CA:CA,COMPRAS!BX:BX,V260,COMPRAS!CS:CS,"=01-REGIMEN GENERAL",COMPRAS!CX:CX,"&lt;&gt;SI",COMPRAS!DD:DD,"=SI")</f>
        <v>0</v>
      </c>
      <c r="AF260" s="954"/>
      <c r="AG260" s="954"/>
      <c r="AH260" s="954"/>
      <c r="AI260" s="206"/>
    </row>
    <row r="261" spans="1:37" ht="21" hidden="1" customHeight="1" outlineLevel="2" x14ac:dyDescent="0.35">
      <c r="A261" s="988"/>
      <c r="B261" s="989"/>
      <c r="C261" s="990"/>
      <c r="D261" s="15"/>
      <c r="E261" s="15"/>
      <c r="F261" s="15"/>
      <c r="G261" s="15"/>
      <c r="H261" s="15"/>
      <c r="I261" s="15"/>
      <c r="J261" s="15"/>
      <c r="K261" s="15"/>
      <c r="L261" s="15"/>
      <c r="M261" s="15"/>
      <c r="N261" s="15"/>
      <c r="O261" s="15"/>
      <c r="P261" s="15"/>
      <c r="Q261" s="15"/>
      <c r="R261" s="15"/>
      <c r="S261" s="15"/>
      <c r="T261" s="15"/>
      <c r="U261" s="229" t="s">
        <v>225</v>
      </c>
      <c r="V261" s="272" t="s">
        <v>224</v>
      </c>
      <c r="W261" s="225"/>
      <c r="X261" s="953">
        <f>SUMIFS(COMPRAS!BG:BG,COMPRAS!BF:BF,V261,COMPRAS!CS:CS,"=01-REGIMEN GENERAL",COMPRAS!CX:CX,"&lt;&gt;SI",COMPRAS!DD:DD,"=SI")+SUMIFS(COMPRAS!BP:BP,COMPRAS!BO:BO,V261,COMPRAS!CS:CS,"=01-REGIMEN GENERAL",COMPRAS!CX:CX,"&lt;&gt;SI",COMPRAS!DD:DD,"=SI")+SUMIFS(COMPRAS!BY:BY,COMPRAS!BX:BX,V261,COMPRAS!CS:CS,"=01-REGIMEN GENERAL",COMPRAS!CX:CX,"&lt;&gt;SI",COMPRAS!DD:DD,"=SI")</f>
        <v>0</v>
      </c>
      <c r="Y261" s="954"/>
      <c r="Z261" s="954"/>
      <c r="AA261" s="954"/>
      <c r="AB261" s="224"/>
      <c r="AC261" s="52"/>
      <c r="AD261" s="227"/>
      <c r="AE261" s="953">
        <f>SUMIFS(COMPRAS!BI:BI,COMPRAS!BF:BF,V261,COMPRAS!CS:CS,"=01-REGIMEN GENERAL",COMPRAS!CX:CX,"&lt;&gt;SI",COMPRAS!DD:DD,"=SI")+SUMIFS(COMPRAS!BR:BR,COMPRAS!BO:BO,V261,COMPRAS!CS:CS,"=01-REGIMEN GENERAL",COMPRAS!CX:CX,"&lt;&gt;SI",COMPRAS!DD:DD,"=SI")+SUMIFS(COMPRAS!CA:CA,COMPRAS!BX:BX,V261,COMPRAS!CS:CS,"=01-REGIMEN GENERAL",COMPRAS!CX:CX,"&lt;&gt;SI",COMPRAS!DD:DD,"=SI")</f>
        <v>0</v>
      </c>
      <c r="AF261" s="954"/>
      <c r="AG261" s="954"/>
      <c r="AH261" s="954"/>
      <c r="AI261" s="206"/>
    </row>
    <row r="262" spans="1:37" ht="21" customHeight="1" outlineLevel="1" collapsed="1" thickBot="1" x14ac:dyDescent="0.4">
      <c r="A262" s="988"/>
      <c r="B262" s="989"/>
      <c r="C262" s="990"/>
      <c r="D262" s="15" t="s">
        <v>937</v>
      </c>
      <c r="E262" s="15"/>
      <c r="F262" s="15"/>
      <c r="G262" s="15"/>
      <c r="H262" s="15"/>
      <c r="I262" s="15"/>
      <c r="J262" s="15"/>
      <c r="K262" s="15"/>
      <c r="L262" s="15"/>
      <c r="M262" s="15"/>
      <c r="N262" s="15"/>
      <c r="O262" s="15"/>
      <c r="P262" s="15"/>
      <c r="Q262" s="15"/>
      <c r="R262" s="15"/>
      <c r="S262" s="15"/>
      <c r="T262" s="15"/>
      <c r="U262" s="130"/>
      <c r="V262" s="226">
        <v>423</v>
      </c>
      <c r="W262" s="225" t="s">
        <v>770</v>
      </c>
      <c r="X262" s="1001">
        <f>SUM(X263:AA263)</f>
        <v>0</v>
      </c>
      <c r="Y262" s="1002"/>
      <c r="Z262" s="1002"/>
      <c r="AA262" s="1002"/>
      <c r="AB262" s="220"/>
      <c r="AC262" s="979"/>
      <c r="AD262" s="980"/>
      <c r="AE262" s="980"/>
      <c r="AF262" s="980"/>
      <c r="AG262" s="980"/>
      <c r="AH262" s="980"/>
      <c r="AI262" s="981"/>
    </row>
    <row r="263" spans="1:37" ht="21" hidden="1" customHeight="1" outlineLevel="2" thickBot="1" x14ac:dyDescent="0.4">
      <c r="A263" s="991"/>
      <c r="B263" s="992"/>
      <c r="C263" s="993"/>
      <c r="D263" s="5"/>
      <c r="E263" s="5"/>
      <c r="F263" s="5"/>
      <c r="G263" s="5"/>
      <c r="H263" s="5"/>
      <c r="I263" s="5"/>
      <c r="J263" s="5"/>
      <c r="K263" s="5"/>
      <c r="L263" s="5"/>
      <c r="M263" s="5"/>
      <c r="N263" s="5"/>
      <c r="O263" s="5"/>
      <c r="P263" s="5"/>
      <c r="Q263" s="5"/>
      <c r="R263" s="5"/>
      <c r="S263" s="5"/>
      <c r="T263" s="5"/>
      <c r="U263" s="223" t="s">
        <v>229</v>
      </c>
      <c r="V263" s="222">
        <v>524</v>
      </c>
      <c r="W263" s="221"/>
      <c r="X263" s="994">
        <f>SUMIFS(COMPRAS!BG:BG,COMPRAS!BF:BF,V263,COMPRAS!CS:CS,"=01-REGIMEN GENERAL",COMPRAS!CX:CX,"&lt;&gt;SI",COMPRAS!DD:DD,"=SI")+SUMIFS(COMPRAS!BP:BP,COMPRAS!BO:BO,V263,COMPRAS!CS:CS,"=01-REGIMEN GENERAL",COMPRAS!CX:CX,"&lt;&gt;SI",COMPRAS!DD:DD,"=SI")+SUMIFS(COMPRAS!BY:BY,COMPRAS!BX:BX,V263,COMPRAS!CS:CS,"=01-REGIMEN GENERAL",COMPRAS!CX:CX,"&lt;&gt;SI",COMPRAS!DD:DD,"=SI")</f>
        <v>0</v>
      </c>
      <c r="Y263" s="995"/>
      <c r="Z263" s="995"/>
      <c r="AA263" s="995"/>
      <c r="AB263" s="268"/>
      <c r="AC263" s="976"/>
      <c r="AD263" s="977"/>
      <c r="AE263" s="977"/>
      <c r="AF263" s="977"/>
      <c r="AG263" s="977"/>
      <c r="AH263" s="977"/>
      <c r="AI263" s="978"/>
    </row>
    <row r="264" spans="1:37" ht="21" customHeight="1" outlineLevel="1" collapsed="1" x14ac:dyDescent="0.35">
      <c r="A264" s="985" t="s">
        <v>947</v>
      </c>
      <c r="B264" s="986"/>
      <c r="C264" s="996"/>
      <c r="D264" s="118" t="s">
        <v>946</v>
      </c>
      <c r="E264" s="118"/>
      <c r="F264" s="118"/>
      <c r="G264" s="118"/>
      <c r="H264" s="118"/>
      <c r="I264" s="118"/>
      <c r="J264" s="118"/>
      <c r="K264" s="118"/>
      <c r="L264" s="118"/>
      <c r="M264" s="118"/>
      <c r="N264" s="118"/>
      <c r="O264" s="118"/>
      <c r="P264" s="118"/>
      <c r="Q264" s="118"/>
      <c r="R264" s="118"/>
      <c r="S264" s="118"/>
      <c r="T264" s="118"/>
      <c r="U264" s="238"/>
      <c r="V264" s="237">
        <v>424</v>
      </c>
      <c r="W264" s="236" t="s">
        <v>770</v>
      </c>
      <c r="X264" s="955">
        <f>SUM(X265:AA268)</f>
        <v>0</v>
      </c>
      <c r="Y264" s="956"/>
      <c r="Z264" s="956"/>
      <c r="AA264" s="956"/>
      <c r="AB264" s="235"/>
      <c r="AC264" s="234">
        <v>474</v>
      </c>
      <c r="AD264" s="233" t="s">
        <v>770</v>
      </c>
      <c r="AE264" s="1003">
        <f>SUM(AE265:AH268)</f>
        <v>0</v>
      </c>
      <c r="AF264" s="1004"/>
      <c r="AG264" s="1004"/>
      <c r="AH264" s="1004"/>
      <c r="AI264" s="232"/>
    </row>
    <row r="265" spans="1:37" ht="21" hidden="1" customHeight="1" outlineLevel="2" x14ac:dyDescent="0.35">
      <c r="A265" s="988"/>
      <c r="B265" s="989"/>
      <c r="C265" s="997"/>
      <c r="D265" s="15"/>
      <c r="E265" s="15"/>
      <c r="F265" s="15"/>
      <c r="G265" s="15"/>
      <c r="H265" s="15"/>
      <c r="I265" s="15"/>
      <c r="J265" s="15"/>
      <c r="K265" s="15"/>
      <c r="L265" s="15"/>
      <c r="M265" s="15"/>
      <c r="N265" s="15"/>
      <c r="O265" s="15"/>
      <c r="P265" s="15"/>
      <c r="Q265" s="15"/>
      <c r="R265" s="15"/>
      <c r="S265" s="15"/>
      <c r="T265" s="15"/>
      <c r="U265" s="229" t="s">
        <v>188</v>
      </c>
      <c r="V265" s="272" t="s">
        <v>187</v>
      </c>
      <c r="W265" s="225"/>
      <c r="X265" s="953">
        <f>SUMIFS(COMPRAS!BG:BG,COMPRAS!BF:BF,V265,COMPRAS!CS:CS,"&lt;&gt;01-REGIMEN GENERAL",COMPRAS!DD:DD,"=SI")+SUMIFS(COMPRAS!BP:BP,COMPRAS!BO:BO,V265,COMPRAS!CS:CS,"&lt;&gt;01-REGIMEN GENERAL",COMPRAS!DD:DD,"=SI")+SUMIFS(COMPRAS!BY:BY,COMPRAS!BX:BX,V265,COMPRAS!CS:CS,"&lt;&gt;01-REGIMEN GENERAL",COMPRAS!DD:DD,"=SI")</f>
        <v>0</v>
      </c>
      <c r="Y265" s="954"/>
      <c r="Z265" s="954"/>
      <c r="AA265" s="954"/>
      <c r="AB265" s="224"/>
      <c r="AC265" s="52"/>
      <c r="AD265" s="227"/>
      <c r="AE265" s="953">
        <f>SUMIFS(COMPRAS!BI:BI,COMPRAS!BF:BF,V265,COMPRAS!CS:CS,"&lt;&gt;01-REGIMEN GENERAL",COMPRAS!DD:DD,"=SI")+SUMIFS(COMPRAS!BR:BR,COMPRAS!BO:BO,V265,COMPRAS!CS:CS,"&lt;&gt;01-REGIMEN GENERAL",COMPRAS!DD:DD,"=SI")+SUMIFS(COMPRAS!CA:CA,COMPRAS!BX:BX,V265,COMPRAS!CS:CS,"&lt;&gt;01-REGIMEN GENERAL",COMPRAS!DD:DD,"=SI")</f>
        <v>0</v>
      </c>
      <c r="AF265" s="954"/>
      <c r="AG265" s="954"/>
      <c r="AH265" s="954"/>
      <c r="AI265" s="206"/>
      <c r="AK265" s="95"/>
    </row>
    <row r="266" spans="1:37" ht="21" hidden="1" customHeight="1" outlineLevel="2" x14ac:dyDescent="0.35">
      <c r="A266" s="988"/>
      <c r="B266" s="989"/>
      <c r="C266" s="997"/>
      <c r="D266" s="15"/>
      <c r="E266" s="15"/>
      <c r="F266" s="15"/>
      <c r="G266" s="15"/>
      <c r="H266" s="15"/>
      <c r="I266" s="15"/>
      <c r="J266" s="15"/>
      <c r="K266" s="15"/>
      <c r="L266" s="15"/>
      <c r="M266" s="15"/>
      <c r="N266" s="15"/>
      <c r="O266" s="15"/>
      <c r="P266" s="15"/>
      <c r="Q266" s="15"/>
      <c r="R266" s="15"/>
      <c r="S266" s="15"/>
      <c r="T266" s="15"/>
      <c r="U266" s="229" t="s">
        <v>190</v>
      </c>
      <c r="V266" s="272" t="s">
        <v>189</v>
      </c>
      <c r="W266" s="225"/>
      <c r="X266" s="953">
        <f>SUMIFS(COMPRAS!BG:BG,COMPRAS!BF:BF,V266,COMPRAS!CS:CS,"&lt;&gt;01-REGIMEN GENERAL",COMPRAS!DD:DD,"=SI")+SUMIFS(COMPRAS!BP:BP,COMPRAS!BO:BO,V266,COMPRAS!CS:CS,"&lt;&gt;01-REGIMEN GENERAL",COMPRAS!DD:DD,"=SI")+SUMIFS(COMPRAS!BY:BY,COMPRAS!BX:BX,V266,COMPRAS!CS:CS,"&lt;&gt;01-REGIMEN GENERAL",COMPRAS!DD:DD,"=SI")</f>
        <v>0</v>
      </c>
      <c r="Y266" s="954"/>
      <c r="Z266" s="954"/>
      <c r="AA266" s="954"/>
      <c r="AB266" s="224"/>
      <c r="AC266" s="52"/>
      <c r="AD266" s="227"/>
      <c r="AE266" s="953">
        <f>SUMIFS(COMPRAS!BI:BI,COMPRAS!BF:BF,V266,COMPRAS!CS:CS,"&lt;&gt;01-REGIMEN GENERAL",COMPRAS!DD:DD,"=SI")+SUMIFS(COMPRAS!BR:BR,COMPRAS!BO:BO,V266,COMPRAS!CS:CS,"&lt;&gt;01-REGIMEN GENERAL",COMPRAS!DD:DD,"=SI")+SUMIFS(COMPRAS!CA:CA,COMPRAS!BX:BX,V266,COMPRAS!CS:CS,"&lt;&gt;01-REGIMEN GENERAL",COMPRAS!DD:DD,"=SI")</f>
        <v>0</v>
      </c>
      <c r="AF266" s="954"/>
      <c r="AG266" s="954"/>
      <c r="AH266" s="954"/>
      <c r="AI266" s="206"/>
    </row>
    <row r="267" spans="1:37" ht="21" hidden="1" customHeight="1" outlineLevel="2" x14ac:dyDescent="0.35">
      <c r="A267" s="988"/>
      <c r="B267" s="989"/>
      <c r="C267" s="997"/>
      <c r="D267" s="15"/>
      <c r="E267" s="15"/>
      <c r="F267" s="15"/>
      <c r="G267" s="15"/>
      <c r="H267" s="15"/>
      <c r="I267" s="15"/>
      <c r="J267" s="15"/>
      <c r="K267" s="15"/>
      <c r="L267" s="15"/>
      <c r="M267" s="15"/>
      <c r="N267" s="15"/>
      <c r="O267" s="15"/>
      <c r="P267" s="15"/>
      <c r="Q267" s="15"/>
      <c r="R267" s="15"/>
      <c r="S267" s="15"/>
      <c r="T267" s="15"/>
      <c r="U267" s="229" t="s">
        <v>192</v>
      </c>
      <c r="V267" s="272" t="s">
        <v>191</v>
      </c>
      <c r="W267" s="225"/>
      <c r="X267" s="953">
        <f>SUMIFS(COMPRAS!BG:BG,COMPRAS!BF:BF,V267,COMPRAS!CS:CS,"&lt;&gt;01-REGIMEN GENERAL",COMPRAS!DD:DD,"=SI")+SUMIFS(COMPRAS!BP:BP,COMPRAS!BO:BO,V267,COMPRAS!CS:CS,"&lt;&gt;01-REGIMEN GENERAL",COMPRAS!DD:DD,"=SI")+SUMIFS(COMPRAS!BY:BY,COMPRAS!BX:BX,V267,COMPRAS!CS:CS,"&lt;&gt;01-REGIMEN GENERAL",COMPRAS!DD:DD,"=SI")</f>
        <v>0</v>
      </c>
      <c r="Y267" s="954"/>
      <c r="Z267" s="954"/>
      <c r="AA267" s="954"/>
      <c r="AB267" s="224"/>
      <c r="AC267" s="52"/>
      <c r="AD267" s="227"/>
      <c r="AE267" s="953">
        <f>SUMIFS(COMPRAS!BI:BI,COMPRAS!BF:BF,V267,COMPRAS!CS:CS,"&lt;&gt;01-REGIMEN GENERAL",COMPRAS!DD:DD,"=SI")+SUMIFS(COMPRAS!BR:BR,COMPRAS!BO:BO,V267,COMPRAS!CS:CS,"&lt;&gt;01-REGIMEN GENERAL",COMPRAS!DD:DD,"=SI")+SUMIFS(COMPRAS!CA:CA,COMPRAS!BX:BX,V267,COMPRAS!CS:CS,"&lt;&gt;01-REGIMEN GENERAL",COMPRAS!DD:DD,"=SI")</f>
        <v>0</v>
      </c>
      <c r="AF267" s="954"/>
      <c r="AG267" s="954"/>
      <c r="AH267" s="954"/>
      <c r="AI267" s="206"/>
    </row>
    <row r="268" spans="1:37" ht="21" hidden="1" customHeight="1" outlineLevel="2" x14ac:dyDescent="0.35">
      <c r="A268" s="988"/>
      <c r="B268" s="989"/>
      <c r="C268" s="997"/>
      <c r="D268" s="15"/>
      <c r="E268" s="15"/>
      <c r="F268" s="15"/>
      <c r="G268" s="15"/>
      <c r="H268" s="15"/>
      <c r="I268" s="15"/>
      <c r="J268" s="15"/>
      <c r="K268" s="15"/>
      <c r="L268" s="15"/>
      <c r="M268" s="15"/>
      <c r="N268" s="15"/>
      <c r="O268" s="15"/>
      <c r="P268" s="15"/>
      <c r="Q268" s="15"/>
      <c r="R268" s="15"/>
      <c r="S268" s="15"/>
      <c r="T268" s="15"/>
      <c r="U268" s="245" t="s">
        <v>194</v>
      </c>
      <c r="V268" s="272" t="s">
        <v>193</v>
      </c>
      <c r="W268" s="225"/>
      <c r="X268" s="953">
        <f>SUMIFS(COMPRAS!BG:BG,COMPRAS!BF:BF,V268,COMPRAS!CS:CS,"&lt;&gt;01-REGIMEN GENERAL",COMPRAS!DD:DD,"=SI")+SUMIFS(COMPRAS!BP:BP,COMPRAS!BO:BO,V268,COMPRAS!CS:CS,"&lt;&gt;01-REGIMEN GENERAL",COMPRAS!DD:DD,"=SI")+SUMIFS(COMPRAS!BY:BY,COMPRAS!BX:BX,V268,COMPRAS!CS:CS,"&lt;&gt;01-REGIMEN GENERAL",COMPRAS!DD:DD,"=SI")</f>
        <v>0</v>
      </c>
      <c r="Y268" s="954"/>
      <c r="Z268" s="954"/>
      <c r="AA268" s="954"/>
      <c r="AB268" s="224"/>
      <c r="AC268" s="52"/>
      <c r="AD268" s="227"/>
      <c r="AE268" s="953">
        <f>SUMIFS(COMPRAS!BI:BI,COMPRAS!BF:BF,V268,COMPRAS!CS:CS,"&lt;&gt;01-REGIMEN GENERAL",COMPRAS!DD:DD,"=SI")+SUMIFS(COMPRAS!BR:BR,COMPRAS!BO:BO,V268,COMPRAS!CS:CS,"&lt;&gt;01-REGIMEN GENERAL",COMPRAS!DD:DD,"=SI")+SUMIFS(COMPRAS!CA:CA,COMPRAS!BX:BX,V268,COMPRAS!CS:CS,"&lt;&gt;01-REGIMEN GENERAL",COMPRAS!DD:DD,"=SI")</f>
        <v>0</v>
      </c>
      <c r="AF268" s="954"/>
      <c r="AG268" s="954"/>
      <c r="AH268" s="954"/>
      <c r="AI268" s="206"/>
    </row>
    <row r="269" spans="1:37" ht="21" customHeight="1" outlineLevel="1" collapsed="1" x14ac:dyDescent="0.35">
      <c r="A269" s="988"/>
      <c r="B269" s="989"/>
      <c r="C269" s="997"/>
      <c r="D269" s="43" t="s">
        <v>945</v>
      </c>
      <c r="E269" s="43"/>
      <c r="F269" s="43"/>
      <c r="G269" s="43"/>
      <c r="H269" s="43"/>
      <c r="I269" s="43"/>
      <c r="J269" s="43"/>
      <c r="K269" s="43"/>
      <c r="L269" s="43"/>
      <c r="M269" s="43"/>
      <c r="N269" s="43"/>
      <c r="O269" s="43"/>
      <c r="P269" s="43"/>
      <c r="Q269" s="43"/>
      <c r="R269" s="43"/>
      <c r="S269" s="43"/>
      <c r="T269" s="43"/>
      <c r="U269" s="43"/>
      <c r="V269" s="54">
        <v>425</v>
      </c>
      <c r="W269" s="225" t="s">
        <v>770</v>
      </c>
      <c r="X269" s="953">
        <f>SUM(X270:AA272)</f>
        <v>0</v>
      </c>
      <c r="Y269" s="954"/>
      <c r="Z269" s="954"/>
      <c r="AA269" s="954"/>
      <c r="AB269" s="230"/>
      <c r="AC269" s="54">
        <v>475</v>
      </c>
      <c r="AD269" s="227" t="s">
        <v>770</v>
      </c>
      <c r="AE269" s="953">
        <f>SUM(AE270:AH272)</f>
        <v>0</v>
      </c>
      <c r="AF269" s="954"/>
      <c r="AG269" s="954"/>
      <c r="AH269" s="954"/>
      <c r="AI269" s="206"/>
    </row>
    <row r="270" spans="1:37" ht="21" hidden="1" customHeight="1" outlineLevel="2" x14ac:dyDescent="0.35">
      <c r="A270" s="988"/>
      <c r="B270" s="989"/>
      <c r="C270" s="997"/>
      <c r="D270" s="15"/>
      <c r="E270" s="15"/>
      <c r="F270" s="15"/>
      <c r="G270" s="15"/>
      <c r="H270" s="15"/>
      <c r="I270" s="15"/>
      <c r="J270" s="15"/>
      <c r="K270" s="15"/>
      <c r="L270" s="15"/>
      <c r="M270" s="15"/>
      <c r="N270" s="15"/>
      <c r="O270" s="15"/>
      <c r="P270" s="15"/>
      <c r="Q270" s="15"/>
      <c r="R270" s="15"/>
      <c r="S270" s="15"/>
      <c r="T270" s="15"/>
      <c r="U270" s="229" t="s">
        <v>1083</v>
      </c>
      <c r="V270" s="272" t="s">
        <v>183</v>
      </c>
      <c r="W270" s="225" t="s">
        <v>770</v>
      </c>
      <c r="X270" s="953">
        <f>SUMIFS(COMPRAS!BG:BG,COMPRAS!BF:BF,V270,COMPRAS!CS:CS,"&lt;&gt;01-REGIMEN GENERAL",COMPRAS!DD:DD,"=SI")+SUMIFS(COMPRAS!BP:BP,COMPRAS!BO:BO,V270,COMPRAS!CS:CS,"&lt;&gt;01-REGIMEN GENERAL",COMPRAS!DD:DD,"=SI")+SUMIFS(COMPRAS!BY:BY,COMPRAS!BX:BX,V270,COMPRAS!CS:CS,"&lt;&gt;01-REGIMEN GENERAL",COMPRAS!DD:DD,"=SI")</f>
        <v>0</v>
      </c>
      <c r="Y270" s="954"/>
      <c r="Z270" s="954"/>
      <c r="AA270" s="954"/>
      <c r="AB270" s="224"/>
      <c r="AC270" s="54"/>
      <c r="AD270" s="227" t="s">
        <v>770</v>
      </c>
      <c r="AE270" s="953">
        <f>SUMIFS(COMPRAS!BI:BI,COMPRAS!BF:BF,V270,COMPRAS!CS:CS,"&lt;&gt;01-REGIMEN GENERAL",COMPRAS!DD:DD,"=SI")+SUMIFS(COMPRAS!BR:BR,COMPRAS!BO:BO,V270,COMPRAS!CS:CS,"&lt;&gt;01-REGIMEN GENERAL",COMPRAS!DD:DD,"=SI")+SUMIFS(COMPRAS!CA:CA,COMPRAS!BX:BX,V270,COMPRAS!CS:CS,"&lt;&gt;01-REGIMEN GENERAL",COMPRAS!DD:DD,"=SI")</f>
        <v>0</v>
      </c>
      <c r="AF270" s="954"/>
      <c r="AG270" s="954"/>
      <c r="AH270" s="954"/>
      <c r="AI270" s="206"/>
    </row>
    <row r="271" spans="1:37" ht="21" hidden="1" customHeight="1" outlineLevel="2" x14ac:dyDescent="0.35">
      <c r="A271" s="988"/>
      <c r="B271" s="989"/>
      <c r="C271" s="997"/>
      <c r="D271" s="15"/>
      <c r="E271" s="15"/>
      <c r="F271" s="15"/>
      <c r="G271" s="15"/>
      <c r="H271" s="15"/>
      <c r="I271" s="15"/>
      <c r="J271" s="15"/>
      <c r="K271" s="15"/>
      <c r="L271" s="15"/>
      <c r="M271" s="15"/>
      <c r="N271" s="15"/>
      <c r="O271" s="15"/>
      <c r="P271" s="15"/>
      <c r="Q271" s="15"/>
      <c r="R271" s="15"/>
      <c r="S271" s="15"/>
      <c r="T271" s="15"/>
      <c r="U271" s="229" t="s">
        <v>1085</v>
      </c>
      <c r="V271" s="272" t="s">
        <v>185</v>
      </c>
      <c r="W271" s="225" t="s">
        <v>770</v>
      </c>
      <c r="X271" s="953">
        <f>SUMIFS(COMPRAS!BG:BG,COMPRAS!BF:BF,V271,COMPRAS!CS:CS,"&lt;&gt;01-REGIMEN GENERAL",COMPRAS!DD:DD,"=SI")+SUMIFS(COMPRAS!BP:BP,COMPRAS!BO:BO,V271,COMPRAS!CS:CS,"&lt;&gt;01-REGIMEN GENERAL",COMPRAS!DD:DD,"=SI")+SUMIFS(COMPRAS!BY:BY,COMPRAS!BX:BX,V271,COMPRAS!CS:CS,"&lt;&gt;01-REGIMEN GENERAL",COMPRAS!DD:DD,"=SI")</f>
        <v>0</v>
      </c>
      <c r="Y271" s="954"/>
      <c r="Z271" s="954"/>
      <c r="AA271" s="954"/>
      <c r="AB271" s="224"/>
      <c r="AC271" s="54"/>
      <c r="AD271" s="227" t="s">
        <v>770</v>
      </c>
      <c r="AE271" s="953">
        <f>SUMIFS(COMPRAS!BI:BI,COMPRAS!BF:BF,V271,COMPRAS!CS:CS,"&lt;&gt;01-REGIMEN GENERAL",COMPRAS!DD:DD,"=SI")+SUMIFS(COMPRAS!BR:BR,COMPRAS!BO:BO,V271,COMPRAS!CS:CS,"&lt;&gt;01-REGIMEN GENERAL",COMPRAS!DD:DD,"=SI")+SUMIFS(COMPRAS!CA:CA,COMPRAS!BX:BX,V271,COMPRAS!CS:CS,"&lt;&gt;01-REGIMEN GENERAL",COMPRAS!DD:DD,"=SI")</f>
        <v>0</v>
      </c>
      <c r="AF271" s="954"/>
      <c r="AG271" s="954"/>
      <c r="AH271" s="954"/>
      <c r="AI271" s="206"/>
    </row>
    <row r="272" spans="1:37" ht="21" hidden="1" customHeight="1" outlineLevel="2" x14ac:dyDescent="0.35">
      <c r="A272" s="988"/>
      <c r="B272" s="989"/>
      <c r="C272" s="997"/>
      <c r="D272" s="15"/>
      <c r="E272" s="15"/>
      <c r="F272" s="15"/>
      <c r="G272" s="15"/>
      <c r="H272" s="15"/>
      <c r="I272" s="15"/>
      <c r="J272" s="15"/>
      <c r="K272" s="15"/>
      <c r="L272" s="15"/>
      <c r="M272" s="15"/>
      <c r="N272" s="15"/>
      <c r="O272" s="15"/>
      <c r="P272" s="15"/>
      <c r="Q272" s="15"/>
      <c r="R272" s="15"/>
      <c r="S272" s="15"/>
      <c r="T272" s="15"/>
      <c r="U272" s="229" t="s">
        <v>1069</v>
      </c>
      <c r="V272" s="272" t="s">
        <v>1068</v>
      </c>
      <c r="W272" s="225" t="s">
        <v>770</v>
      </c>
      <c r="X272" s="953">
        <f>SUMIFS(COMPRAS!BG:BG,COMPRAS!BF:BF,V272,COMPRAS!CS:CS,"&lt;&gt;01-REGIMEN GENERAL",COMPRAS!DD:DD,"=SI")+SUMIFS(COMPRAS!BP:BP,COMPRAS!BO:BO,V272,COMPRAS!CS:CS,"&lt;&gt;01-REGIMEN GENERAL",COMPRAS!DD:DD,"=SI")+SUMIFS(COMPRAS!BY:BY,COMPRAS!BX:BX,V272,COMPRAS!CS:CS,"&lt;&gt;01-REGIMEN GENERAL",COMPRAS!DD:DD,"=SI")</f>
        <v>0</v>
      </c>
      <c r="Y272" s="954"/>
      <c r="Z272" s="954"/>
      <c r="AA272" s="954"/>
      <c r="AB272" s="224"/>
      <c r="AC272" s="54"/>
      <c r="AD272" s="227" t="s">
        <v>770</v>
      </c>
      <c r="AE272" s="953">
        <f>SUMIFS(COMPRAS!BI:BI,COMPRAS!BF:BF,V272,COMPRAS!CS:CS,"&lt;&gt;01-REGIMEN GENERAL",COMPRAS!DD:DD,"=SI")+SUMIFS(COMPRAS!BR:BR,COMPRAS!BO:BO,V272,COMPRAS!CS:CS,"&lt;&gt;01-REGIMEN GENERAL",COMPRAS!DD:DD,"=SI")+SUMIFS(COMPRAS!CA:CA,COMPRAS!BX:BX,V272,COMPRAS!CS:CS,"&lt;&gt;01-REGIMEN GENERAL",COMPRAS!DD:DD,"=SI")</f>
        <v>0</v>
      </c>
      <c r="AF272" s="954"/>
      <c r="AG272" s="954"/>
      <c r="AH272" s="954"/>
      <c r="AI272" s="206"/>
    </row>
    <row r="273" spans="1:35" ht="21" customHeight="1" outlineLevel="1" collapsed="1" x14ac:dyDescent="0.35">
      <c r="A273" s="988"/>
      <c r="B273" s="989"/>
      <c r="C273" s="997"/>
      <c r="D273" s="15" t="s">
        <v>944</v>
      </c>
      <c r="E273" s="15"/>
      <c r="F273" s="15"/>
      <c r="G273" s="15"/>
      <c r="H273" s="15"/>
      <c r="I273" s="15"/>
      <c r="J273" s="15"/>
      <c r="K273" s="15"/>
      <c r="L273" s="15"/>
      <c r="M273" s="15"/>
      <c r="N273" s="15"/>
      <c r="O273" s="15"/>
      <c r="P273" s="15"/>
      <c r="Q273" s="15"/>
      <c r="R273" s="15"/>
      <c r="S273" s="15"/>
      <c r="T273" s="15"/>
      <c r="U273" s="130"/>
      <c r="V273" s="226">
        <v>426</v>
      </c>
      <c r="W273" s="225" t="s">
        <v>770</v>
      </c>
      <c r="X273" s="953">
        <f>SUM(X274)</f>
        <v>0</v>
      </c>
      <c r="Y273" s="954"/>
      <c r="Z273" s="954"/>
      <c r="AA273" s="954"/>
      <c r="AB273" s="224"/>
      <c r="AC273" s="54">
        <v>476</v>
      </c>
      <c r="AD273" s="227" t="s">
        <v>770</v>
      </c>
      <c r="AE273" s="953">
        <f>SUM(AE274)</f>
        <v>0</v>
      </c>
      <c r="AF273" s="954"/>
      <c r="AG273" s="954"/>
      <c r="AH273" s="954"/>
      <c r="AI273" s="206"/>
    </row>
    <row r="274" spans="1:35" ht="21" hidden="1" customHeight="1" outlineLevel="2" x14ac:dyDescent="0.35">
      <c r="A274" s="988"/>
      <c r="B274" s="989"/>
      <c r="C274" s="997"/>
      <c r="D274" s="15"/>
      <c r="E274" s="15"/>
      <c r="F274" s="15"/>
      <c r="G274" s="15"/>
      <c r="H274" s="15"/>
      <c r="I274" s="15"/>
      <c r="J274" s="15"/>
      <c r="K274" s="15"/>
      <c r="L274" s="15"/>
      <c r="M274" s="15"/>
      <c r="N274" s="15"/>
      <c r="O274" s="15"/>
      <c r="P274" s="15"/>
      <c r="Q274" s="15"/>
      <c r="R274" s="15"/>
      <c r="S274" s="15"/>
      <c r="T274" s="15"/>
      <c r="U274" s="229" t="s">
        <v>1078</v>
      </c>
      <c r="V274" s="228">
        <v>504</v>
      </c>
      <c r="W274" s="225"/>
      <c r="X274" s="953">
        <f>SUMIFS(COMPRAS!BG:BG,COMPRAS!BF:BF,V274,COMPRAS!CS:CS,"&lt;&gt;01-REGIMEN GENERAL",COMPRAS!DD:DD,"=SI")+SUMIFS(COMPRAS!BP:BP,COMPRAS!BO:BO,V274,COMPRAS!CS:CS,"&lt;&gt;01-REGIMEN GENERAL",COMPRAS!DD:DD,"=SI")+SUMIFS(COMPRAS!BY:BY,COMPRAS!BX:BX,V274,COMPRAS!CS:CS,"&lt;&gt;01-REGIMEN GENERAL",COMPRAS!DD:DD,"=SI")</f>
        <v>0</v>
      </c>
      <c r="Y274" s="954"/>
      <c r="Z274" s="954"/>
      <c r="AA274" s="954"/>
      <c r="AB274" s="224"/>
      <c r="AC274" s="54"/>
      <c r="AD274" s="227"/>
      <c r="AE274" s="953">
        <f>SUMIFS(COMPRAS!BI:BI,COMPRAS!BF:BF,V274,COMPRAS!CS:CS,"&lt;&gt;01-REGIMEN GENERAL",COMPRAS!DD:DD,"=SI")+SUMIFS(COMPRAS!BR:BR,COMPRAS!BO:BO,V274,COMPRAS!CS:CS,"&lt;&gt;01-REGIMEN GENERAL",COMPRAS!DD:DD,"=SI")+SUMIFS(COMPRAS!CA:CA,COMPRAS!BX:BX,V274,COMPRAS!CS:CS,"&lt;&gt;01-REGIMEN GENERAL",COMPRAS!DD:DD,"=SI")</f>
        <v>0</v>
      </c>
      <c r="AF274" s="954"/>
      <c r="AG274" s="954"/>
      <c r="AH274" s="954"/>
      <c r="AI274" s="206"/>
    </row>
    <row r="275" spans="1:35" ht="21" customHeight="1" outlineLevel="1" collapsed="1" x14ac:dyDescent="0.35">
      <c r="A275" s="988"/>
      <c r="B275" s="989"/>
      <c r="C275" s="997"/>
      <c r="D275" s="15" t="s">
        <v>943</v>
      </c>
      <c r="E275" s="15"/>
      <c r="F275" s="15"/>
      <c r="G275" s="15"/>
      <c r="H275" s="15"/>
      <c r="I275" s="15"/>
      <c r="J275" s="15"/>
      <c r="K275" s="15"/>
      <c r="L275" s="15"/>
      <c r="M275" s="15"/>
      <c r="N275" s="15"/>
      <c r="O275" s="15"/>
      <c r="P275" s="15"/>
      <c r="Q275" s="15"/>
      <c r="R275" s="15"/>
      <c r="S275" s="15"/>
      <c r="T275" s="15"/>
      <c r="U275" s="130"/>
      <c r="V275" s="226">
        <v>427</v>
      </c>
      <c r="W275" s="225" t="s">
        <v>770</v>
      </c>
      <c r="X275" s="953">
        <f>SUM(X276:AA276)</f>
        <v>0</v>
      </c>
      <c r="Y275" s="954"/>
      <c r="Z275" s="954"/>
      <c r="AA275" s="954"/>
      <c r="AB275" s="224"/>
      <c r="AC275" s="54">
        <v>477</v>
      </c>
      <c r="AD275" s="227" t="s">
        <v>770</v>
      </c>
      <c r="AE275" s="953">
        <f>SUM(AE276:AH276)</f>
        <v>0</v>
      </c>
      <c r="AF275" s="954"/>
      <c r="AG275" s="954"/>
      <c r="AH275" s="954"/>
      <c r="AI275" s="206"/>
    </row>
    <row r="276" spans="1:35" ht="21" hidden="1" customHeight="1" outlineLevel="2" x14ac:dyDescent="0.35">
      <c r="A276" s="988"/>
      <c r="B276" s="989"/>
      <c r="C276" s="997"/>
      <c r="D276" s="15"/>
      <c r="E276" s="15"/>
      <c r="F276" s="15"/>
      <c r="G276" s="15"/>
      <c r="H276" s="15"/>
      <c r="I276" s="15"/>
      <c r="J276" s="15"/>
      <c r="K276" s="15"/>
      <c r="L276" s="15"/>
      <c r="M276" s="15"/>
      <c r="N276" s="15"/>
      <c r="O276" s="15"/>
      <c r="P276" s="15"/>
      <c r="Q276" s="15"/>
      <c r="R276" s="15"/>
      <c r="S276" s="15"/>
      <c r="T276" s="15"/>
      <c r="U276" s="229" t="s">
        <v>1080</v>
      </c>
      <c r="V276" s="228" t="s">
        <v>180</v>
      </c>
      <c r="W276" s="225"/>
      <c r="X276" s="953">
        <f>SUMIFS(COMPRAS!BG:BG,COMPRAS!BF:BF,V276,COMPRAS!CS:CS,"&lt;&gt;01-REGIMEN GENERAL",COMPRAS!DD:DD,"=SI")+SUMIFS(COMPRAS!BP:BP,COMPRAS!BO:BO,V276,COMPRAS!CS:CS,"&lt;&gt;01-REGIMEN GENERAL",COMPRAS!DD:DD,"=SI")+SUMIFS(COMPRAS!BY:BY,COMPRAS!BX:BX,V276,COMPRAS!CS:CS,"&lt;&gt;01-REGIMEN GENERAL",COMPRAS!DD:DD,"=SI")</f>
        <v>0</v>
      </c>
      <c r="Y276" s="954"/>
      <c r="Z276" s="954"/>
      <c r="AA276" s="954"/>
      <c r="AB276" s="224"/>
      <c r="AC276" s="52"/>
      <c r="AD276" s="227"/>
      <c r="AE276" s="953">
        <f>SUMIFS(COMPRAS!BI:BI,COMPRAS!BF:BF,V276,COMPRAS!CS:CS,"&lt;&gt;01-REGIMEN GENERAL",COMPRAS!DD:DD,"=SI")+SUMIFS(COMPRAS!BR:BR,COMPRAS!BO:BO,V276,COMPRAS!CS:CS,"&lt;&gt;01-REGIMEN GENERAL",COMPRAS!DD:DD,"=SI")+SUMIFS(COMPRAS!CA:CA,COMPRAS!BX:BX,V276,COMPRAS!CS:CS,"&lt;&gt;01-REGIMEN GENERAL",COMPRAS!DD:DD,"=SI")</f>
        <v>0</v>
      </c>
      <c r="AF276" s="954"/>
      <c r="AG276" s="954"/>
      <c r="AH276" s="954"/>
      <c r="AI276" s="206"/>
    </row>
    <row r="277" spans="1:35" ht="21" customHeight="1" outlineLevel="1" collapsed="1" x14ac:dyDescent="0.35">
      <c r="A277" s="988"/>
      <c r="B277" s="989"/>
      <c r="C277" s="997"/>
      <c r="D277" s="15" t="s">
        <v>942</v>
      </c>
      <c r="E277" s="15"/>
      <c r="F277" s="15"/>
      <c r="G277" s="15"/>
      <c r="H277" s="15"/>
      <c r="I277" s="15"/>
      <c r="J277" s="15"/>
      <c r="K277" s="15"/>
      <c r="L277" s="15"/>
      <c r="M277" s="15"/>
      <c r="N277" s="15"/>
      <c r="O277" s="15"/>
      <c r="P277" s="15"/>
      <c r="Q277" s="15"/>
      <c r="R277" s="15"/>
      <c r="S277" s="15"/>
      <c r="T277" s="15"/>
      <c r="U277" s="130"/>
      <c r="V277" s="226">
        <v>428</v>
      </c>
      <c r="W277" s="225" t="s">
        <v>770</v>
      </c>
      <c r="X277" s="953">
        <f>SUM(X278:AA278)</f>
        <v>0</v>
      </c>
      <c r="Y277" s="954"/>
      <c r="Z277" s="954"/>
      <c r="AA277" s="954"/>
      <c r="AB277" s="224"/>
      <c r="AC277" s="54">
        <v>478</v>
      </c>
      <c r="AD277" s="227" t="s">
        <v>770</v>
      </c>
      <c r="AE277" s="953">
        <f>SUM(AE278:AH278)</f>
        <v>0</v>
      </c>
      <c r="AF277" s="954"/>
      <c r="AG277" s="954"/>
      <c r="AH277" s="954"/>
      <c r="AI277" s="206"/>
    </row>
    <row r="278" spans="1:35" ht="21" hidden="1" customHeight="1" outlineLevel="2" x14ac:dyDescent="0.35">
      <c r="A278" s="988"/>
      <c r="B278" s="989"/>
      <c r="C278" s="997"/>
      <c r="D278" s="15"/>
      <c r="E278" s="15"/>
      <c r="F278" s="15"/>
      <c r="G278" s="15"/>
      <c r="H278" s="15"/>
      <c r="I278" s="15"/>
      <c r="J278" s="15"/>
      <c r="K278" s="15"/>
      <c r="L278" s="15"/>
      <c r="M278" s="15"/>
      <c r="N278" s="15"/>
      <c r="O278" s="15"/>
      <c r="P278" s="15"/>
      <c r="Q278" s="15"/>
      <c r="R278" s="15"/>
      <c r="S278" s="15"/>
      <c r="T278" s="15"/>
      <c r="U278" s="229" t="s">
        <v>1081</v>
      </c>
      <c r="V278" s="228" t="s">
        <v>181</v>
      </c>
      <c r="W278" s="225"/>
      <c r="X278" s="953">
        <f>SUMIFS(COMPRAS!BG:BG,COMPRAS!BF:BF,V278,COMPRAS!CS:CS,"&lt;&gt;01-REGIMEN GENERAL",COMPRAS!DD:DD,"=SI")+SUMIFS(COMPRAS!BP:BP,COMPRAS!BO:BO,V278,COMPRAS!CS:CS,"&lt;&gt;01-REGIMEN GENERAL",COMPRAS!DD:DD,"=SI")+SUMIFS(COMPRAS!BY:BY,COMPRAS!BX:BX,V278,COMPRAS!CS:CS,"&lt;&gt;01-REGIMEN GENERAL",COMPRAS!DD:DD,"=SI")</f>
        <v>0</v>
      </c>
      <c r="Y278" s="954"/>
      <c r="Z278" s="954"/>
      <c r="AA278" s="954"/>
      <c r="AB278" s="224"/>
      <c r="AC278" s="52"/>
      <c r="AD278" s="227"/>
      <c r="AE278" s="953">
        <f>SUMIFS(COMPRAS!BI:BI,COMPRAS!BF:BF,V278,COMPRAS!CS:CS,"&lt;&gt;01-REGIMEN GENERAL",COMPRAS!DD:DD,"=SI")+SUMIFS(COMPRAS!BR:BR,COMPRAS!BO:BO,V278,COMPRAS!CS:CS,"&lt;&gt;01-REGIMEN GENERAL",COMPRAS!DD:DD,"=SI")+SUMIFS(COMPRAS!CA:CA,COMPRAS!BX:BX,V278,COMPRAS!CS:CS,"&lt;&gt;01-REGIMEN GENERAL",COMPRAS!DD:DD,"=SI")</f>
        <v>0</v>
      </c>
      <c r="AF278" s="954"/>
      <c r="AG278" s="954"/>
      <c r="AH278" s="954"/>
      <c r="AI278" s="206"/>
    </row>
    <row r="279" spans="1:35" ht="21" customHeight="1" outlineLevel="1" collapsed="1" x14ac:dyDescent="0.35">
      <c r="A279" s="988"/>
      <c r="B279" s="989"/>
      <c r="C279" s="997"/>
      <c r="D279" s="15" t="s">
        <v>1166</v>
      </c>
      <c r="E279" s="15"/>
      <c r="F279" s="15"/>
      <c r="G279" s="15"/>
      <c r="H279" s="15"/>
      <c r="I279" s="15"/>
      <c r="J279" s="15"/>
      <c r="K279" s="15"/>
      <c r="L279" s="15"/>
      <c r="M279" s="15"/>
      <c r="N279" s="15"/>
      <c r="O279" s="15"/>
      <c r="P279" s="15"/>
      <c r="Q279" s="15"/>
      <c r="R279" s="15"/>
      <c r="S279" s="15"/>
      <c r="T279" s="15"/>
      <c r="U279" s="130"/>
      <c r="V279" s="226">
        <v>4260</v>
      </c>
      <c r="W279" s="225" t="s">
        <v>770</v>
      </c>
      <c r="X279" s="953">
        <f>SUM(X280)</f>
        <v>0</v>
      </c>
      <c r="Y279" s="954"/>
      <c r="Z279" s="954"/>
      <c r="AA279" s="954"/>
      <c r="AB279" s="224"/>
      <c r="AC279" s="54">
        <v>4760</v>
      </c>
      <c r="AD279" s="227" t="s">
        <v>770</v>
      </c>
      <c r="AE279" s="953">
        <f>SUM(AE280:AH280)</f>
        <v>0</v>
      </c>
      <c r="AF279" s="954"/>
      <c r="AG279" s="954"/>
      <c r="AH279" s="954"/>
      <c r="AI279" s="206"/>
    </row>
    <row r="280" spans="1:35" ht="21" hidden="1" customHeight="1" outlineLevel="2" x14ac:dyDescent="0.35">
      <c r="A280" s="988"/>
      <c r="B280" s="989"/>
      <c r="C280" s="997"/>
      <c r="D280" s="15"/>
      <c r="E280" s="15"/>
      <c r="F280" s="15"/>
      <c r="G280" s="15"/>
      <c r="H280" s="15"/>
      <c r="I280" s="15"/>
      <c r="J280" s="15"/>
      <c r="K280" s="15"/>
      <c r="L280" s="15"/>
      <c r="M280" s="15"/>
      <c r="N280" s="15"/>
      <c r="O280" s="15"/>
      <c r="P280" s="15"/>
      <c r="Q280" s="15"/>
      <c r="R280" s="15"/>
      <c r="S280" s="15"/>
      <c r="T280" s="15"/>
      <c r="U280" s="229" t="s">
        <v>1149</v>
      </c>
      <c r="V280" s="228">
        <v>504</v>
      </c>
      <c r="W280" s="225"/>
      <c r="X280" s="953">
        <f>SUMIFS(COMPRAS!BG:BG,COMPRAS!BF:BF,V280,COMPRAS!CS:CS,"&lt;&gt;01-REGIMEN GENERAL",COMPRAS!DD:DD,"=SI")+SUMIFS(COMPRAS!BP:BP,COMPRAS!BO:BO,V280,COMPRAS!CS:CS,"&lt;&gt;01-REGIMEN GENERAL",COMPRAS!DD:DD,"=SI")+SUMIFS(COMPRAS!BY:BY,COMPRAS!BX:BX,V280,COMPRAS!CS:CS,"&lt;&gt;01-REGIMEN GENERAL",COMPRAS!DD:DD,"=SI")</f>
        <v>0</v>
      </c>
      <c r="Y280" s="954"/>
      <c r="Z280" s="954"/>
      <c r="AA280" s="954"/>
      <c r="AB280" s="224"/>
      <c r="AC280" s="54"/>
      <c r="AD280" s="227"/>
      <c r="AE280" s="953">
        <f>SUMIFS(COMPRAS!BI:BI,COMPRAS!BF:BF,V280,COMPRAS!CS:CS,"&lt;&gt;01-REGIMEN GENERAL",COMPRAS!DD:DD,"=SI")+SUMIFS(COMPRAS!BR:BR,COMPRAS!BO:BO,V280,COMPRAS!CS:CS,"&lt;&gt;01-REGIMEN GENERAL",COMPRAS!DD:DD,"=SI")+SUMIFS(COMPRAS!CA:CA,COMPRAS!BX:BX,V280,COMPRAS!CS:CS,"&lt;&gt;01-REGIMEN GENERAL",COMPRAS!DD:DD,"=SI")</f>
        <v>0</v>
      </c>
      <c r="AF280" s="954"/>
      <c r="AG280" s="954"/>
      <c r="AH280" s="954"/>
      <c r="AI280" s="206"/>
    </row>
    <row r="281" spans="1:35" ht="21" customHeight="1" outlineLevel="1" collapsed="1" x14ac:dyDescent="0.35">
      <c r="A281" s="988"/>
      <c r="B281" s="989"/>
      <c r="C281" s="997"/>
      <c r="D281" s="15" t="s">
        <v>1167</v>
      </c>
      <c r="E281" s="15"/>
      <c r="F281" s="15"/>
      <c r="G281" s="15"/>
      <c r="H281" s="15"/>
      <c r="I281" s="15"/>
      <c r="J281" s="15"/>
      <c r="K281" s="15"/>
      <c r="L281" s="15"/>
      <c r="M281" s="15"/>
      <c r="N281" s="15"/>
      <c r="O281" s="15"/>
      <c r="P281" s="15"/>
      <c r="Q281" s="15"/>
      <c r="R281" s="15"/>
      <c r="S281" s="15"/>
      <c r="T281" s="15"/>
      <c r="U281" s="130"/>
      <c r="V281" s="226">
        <v>4270</v>
      </c>
      <c r="W281" s="225" t="s">
        <v>770</v>
      </c>
      <c r="X281" s="953">
        <f>SUM(X282:AA283)</f>
        <v>0</v>
      </c>
      <c r="Y281" s="954"/>
      <c r="Z281" s="954"/>
      <c r="AA281" s="954"/>
      <c r="AB281" s="224"/>
      <c r="AC281" s="54">
        <v>4770</v>
      </c>
      <c r="AD281" s="227" t="s">
        <v>770</v>
      </c>
      <c r="AE281" s="953">
        <f>SUM(AE282:AH283)</f>
        <v>0</v>
      </c>
      <c r="AF281" s="954"/>
      <c r="AG281" s="954"/>
      <c r="AH281" s="954"/>
      <c r="AI281" s="206"/>
    </row>
    <row r="282" spans="1:35" ht="21" hidden="1" customHeight="1" outlineLevel="2" x14ac:dyDescent="0.35">
      <c r="A282" s="988"/>
      <c r="B282" s="989"/>
      <c r="C282" s="997"/>
      <c r="D282" s="15"/>
      <c r="E282" s="15"/>
      <c r="F282" s="15"/>
      <c r="G282" s="15"/>
      <c r="H282" s="15"/>
      <c r="I282" s="15"/>
      <c r="J282" s="15"/>
      <c r="K282" s="15"/>
      <c r="L282" s="15"/>
      <c r="M282" s="15"/>
      <c r="N282" s="15"/>
      <c r="O282" s="15"/>
      <c r="P282" s="15"/>
      <c r="Q282" s="15"/>
      <c r="R282" s="15"/>
      <c r="S282" s="15"/>
      <c r="T282" s="15"/>
      <c r="U282" s="229" t="s">
        <v>1169</v>
      </c>
      <c r="V282" s="228" t="s">
        <v>180</v>
      </c>
      <c r="W282" s="225"/>
      <c r="X282" s="953">
        <f>SUMIFS(COMPRAS!BG:BG,COMPRAS!BF:BF,V282,COMPRAS!CS:CS,"&lt;&gt;01-REGIMEN GENERAL",COMPRAS!DD:DD,"=SI")+SUMIFS(COMPRAS!BP:BP,COMPRAS!BO:BO,V282,COMPRAS!CS:CS,"&lt;&gt;01-REGIMEN GENERAL",COMPRAS!DD:DD,"=SI")+SUMIFS(COMPRAS!BY:BY,COMPRAS!BX:BX,V282,COMPRAS!CS:CS,"&lt;&gt;01-REGIMEN GENERAL",COMPRAS!DD:DD,"=SI")</f>
        <v>0</v>
      </c>
      <c r="Y282" s="954"/>
      <c r="Z282" s="954"/>
      <c r="AA282" s="954"/>
      <c r="AB282" s="224"/>
      <c r="AC282" s="54"/>
      <c r="AD282" s="227"/>
      <c r="AE282" s="953">
        <f>SUMIFS(COMPRAS!BI:BI,COMPRAS!BF:BF,V282,COMPRAS!CS:CS,"&lt;&gt;01-REGIMEN GENERAL",COMPRAS!DD:DD,"=SI")+SUMIFS(COMPRAS!BR:BR,COMPRAS!BO:BO,V282,COMPRAS!CS:CS,"&lt;&gt;01-REGIMEN GENERAL",COMPRAS!DD:DD,"=SI")+SUMIFS(COMPRAS!CA:CA,COMPRAS!BX:BX,V282,COMPRAS!CS:CS,"&lt;&gt;01-REGIMEN GENERAL",COMPRAS!DD:DD,"=SI")</f>
        <v>0</v>
      </c>
      <c r="AF282" s="954"/>
      <c r="AG282" s="954"/>
      <c r="AH282" s="954"/>
      <c r="AI282" s="206"/>
    </row>
    <row r="283" spans="1:35" ht="21" hidden="1" customHeight="1" outlineLevel="2" x14ac:dyDescent="0.35">
      <c r="A283" s="988"/>
      <c r="B283" s="989"/>
      <c r="C283" s="997"/>
      <c r="D283" s="15"/>
      <c r="E283" s="15"/>
      <c r="F283" s="15"/>
      <c r="G283" s="15"/>
      <c r="H283" s="15"/>
      <c r="I283" s="15"/>
      <c r="J283" s="15"/>
      <c r="K283" s="15"/>
      <c r="L283" s="15"/>
      <c r="M283" s="15"/>
      <c r="N283" s="15"/>
      <c r="O283" s="15"/>
      <c r="P283" s="15"/>
      <c r="Q283" s="15"/>
      <c r="R283" s="15"/>
      <c r="S283" s="15"/>
      <c r="T283" s="15"/>
      <c r="U283" s="229" t="s">
        <v>1150</v>
      </c>
      <c r="V283" s="228" t="s">
        <v>181</v>
      </c>
      <c r="W283" s="225"/>
      <c r="X283" s="953">
        <f>SUMIFS(COMPRAS!BG:BG,COMPRAS!BF:BF,V283,COMPRAS!CS:CS,"&lt;&gt;01-REGIMEN GENERAL",COMPRAS!DD:DD,"=SI")+SUMIFS(COMPRAS!BP:BP,COMPRAS!BO:BO,V283,COMPRAS!CS:CS,"&lt;&gt;01-REGIMEN GENERAL",COMPRAS!DD:DD,"=SI")+SUMIFS(COMPRAS!BY:BY,COMPRAS!BX:BX,V283,COMPRAS!CS:CS,"&lt;&gt;01-REGIMEN GENERAL",COMPRAS!DD:DD,"=SI")</f>
        <v>0</v>
      </c>
      <c r="Y283" s="954"/>
      <c r="Z283" s="954"/>
      <c r="AA283" s="954"/>
      <c r="AB283" s="224"/>
      <c r="AC283" s="54"/>
      <c r="AD283" s="227"/>
      <c r="AE283" s="953">
        <f>SUMIFS(COMPRAS!BI:BI,COMPRAS!BF:BF,V283,COMPRAS!CS:CS,"&lt;&gt;01-REGIMEN GENERAL",COMPRAS!DD:DD,"=SI")+SUMIFS(COMPRAS!BR:BR,COMPRAS!BO:BO,V283,COMPRAS!CS:CS,"&lt;&gt;01-REGIMEN GENERAL",COMPRAS!DD:DD,"=SI")+SUMIFS(COMPRAS!CA:CA,COMPRAS!BX:BX,V283,COMPRAS!CS:CS,"&lt;&gt;01-REGIMEN GENERAL",COMPRAS!DD:DD,"=SI")</f>
        <v>0</v>
      </c>
      <c r="AF283" s="954"/>
      <c r="AG283" s="954"/>
      <c r="AH283" s="954"/>
      <c r="AI283" s="206"/>
    </row>
    <row r="284" spans="1:35" ht="21" customHeight="1" outlineLevel="1" collapsed="1" x14ac:dyDescent="0.35">
      <c r="A284" s="988"/>
      <c r="B284" s="989"/>
      <c r="C284" s="997"/>
      <c r="D284" s="15" t="s">
        <v>1168</v>
      </c>
      <c r="E284" s="15"/>
      <c r="F284" s="15"/>
      <c r="G284" s="15"/>
      <c r="H284" s="15"/>
      <c r="I284" s="15"/>
      <c r="J284" s="15"/>
      <c r="K284" s="15"/>
      <c r="L284" s="15"/>
      <c r="M284" s="15"/>
      <c r="N284" s="15"/>
      <c r="O284" s="15"/>
      <c r="P284" s="15"/>
      <c r="Q284" s="15"/>
      <c r="R284" s="15"/>
      <c r="S284" s="15"/>
      <c r="T284" s="15"/>
      <c r="U284" s="130"/>
      <c r="V284" s="226">
        <v>4280</v>
      </c>
      <c r="W284" s="225" t="s">
        <v>770</v>
      </c>
      <c r="X284" s="953">
        <f>SUM(X285)</f>
        <v>0</v>
      </c>
      <c r="Y284" s="954"/>
      <c r="Z284" s="954"/>
      <c r="AA284" s="954"/>
      <c r="AB284" s="224"/>
      <c r="AC284" s="54">
        <v>4780</v>
      </c>
      <c r="AD284" s="227" t="s">
        <v>770</v>
      </c>
      <c r="AE284" s="953">
        <f>SUM(AE285:AH285)</f>
        <v>0</v>
      </c>
      <c r="AF284" s="954"/>
      <c r="AG284" s="954"/>
      <c r="AH284" s="954"/>
      <c r="AI284" s="206"/>
    </row>
    <row r="285" spans="1:35" ht="21" hidden="1" customHeight="1" outlineLevel="2" x14ac:dyDescent="0.35">
      <c r="A285" s="988"/>
      <c r="B285" s="989"/>
      <c r="C285" s="997"/>
      <c r="D285" s="15"/>
      <c r="E285" s="15"/>
      <c r="F285" s="15"/>
      <c r="G285" s="15"/>
      <c r="H285" s="15"/>
      <c r="I285" s="15"/>
      <c r="J285" s="15"/>
      <c r="K285" s="15"/>
      <c r="L285" s="15"/>
      <c r="M285" s="15"/>
      <c r="N285" s="15"/>
      <c r="O285" s="15"/>
      <c r="P285" s="15"/>
      <c r="Q285" s="15"/>
      <c r="R285" s="15"/>
      <c r="S285" s="15"/>
      <c r="T285" s="15"/>
      <c r="U285" s="229" t="s">
        <v>1170</v>
      </c>
      <c r="V285" s="228" t="s">
        <v>179</v>
      </c>
      <c r="W285" s="225"/>
      <c r="X285" s="953">
        <f>SUMIFS(COMPRAS!BG:BG,COMPRAS!BF:BF,V285,COMPRAS!CS:CS,"&lt;&gt;01-REGIMEN GENERAL",COMPRAS!DD:DD,"=SI")+SUMIFS(COMPRAS!BP:BP,COMPRAS!BO:BO,V285,COMPRAS!CS:CS,"&lt;&gt;01-REGIMEN GENERAL",COMPRAS!DD:DD,"=SI")+SUMIFS(COMPRAS!BY:BY,COMPRAS!BX:BX,V285,COMPRAS!CS:CS,"&lt;&gt;01-REGIMEN GENERAL",COMPRAS!DD:DD,"=SI")</f>
        <v>0</v>
      </c>
      <c r="Y285" s="954"/>
      <c r="Z285" s="954"/>
      <c r="AA285" s="954"/>
      <c r="AB285" s="224"/>
      <c r="AC285" s="54"/>
      <c r="AD285" s="227"/>
      <c r="AE285" s="953">
        <f>SUMIFS(COMPRAS!BI:BI,COMPRAS!BF:BF,V285,COMPRAS!CS:CS,"&lt;&gt;01-REGIMEN GENERAL",COMPRAS!DD:DD,"=SI")+SUMIFS(COMPRAS!BR:BR,COMPRAS!BO:BO,V285,COMPRAS!CS:CS,"&lt;&gt;01-REGIMEN GENERAL",COMPRAS!DD:DD,"=SI")+SUMIFS(COMPRAS!CA:CA,COMPRAS!BX:BX,V285,COMPRAS!CS:CS,"&lt;&gt;01-REGIMEN GENERAL",COMPRAS!DD:DD,"=SI")</f>
        <v>0</v>
      </c>
      <c r="AF285" s="954"/>
      <c r="AG285" s="954"/>
      <c r="AH285" s="954"/>
      <c r="AI285" s="206"/>
    </row>
    <row r="286" spans="1:35" ht="21" customHeight="1" outlineLevel="1" collapsed="1" x14ac:dyDescent="0.35">
      <c r="A286" s="988"/>
      <c r="B286" s="989"/>
      <c r="C286" s="997"/>
      <c r="D286" s="15" t="s">
        <v>941</v>
      </c>
      <c r="E286" s="15"/>
      <c r="F286" s="15"/>
      <c r="G286" s="15"/>
      <c r="H286" s="15"/>
      <c r="I286" s="15"/>
      <c r="J286" s="15"/>
      <c r="K286" s="15"/>
      <c r="L286" s="15"/>
      <c r="M286" s="15"/>
      <c r="N286" s="15"/>
      <c r="O286" s="15"/>
      <c r="P286" s="15"/>
      <c r="Q286" s="15"/>
      <c r="R286" s="15"/>
      <c r="S286" s="15"/>
      <c r="T286" s="15"/>
      <c r="U286" s="130"/>
      <c r="V286" s="226">
        <v>429</v>
      </c>
      <c r="W286" s="225" t="s">
        <v>770</v>
      </c>
      <c r="X286" s="953">
        <f>SUM(X287:AA287)</f>
        <v>0</v>
      </c>
      <c r="Y286" s="954"/>
      <c r="Z286" s="954"/>
      <c r="AA286" s="954"/>
      <c r="AB286" s="224"/>
      <c r="AC286" s="54">
        <v>479</v>
      </c>
      <c r="AD286" s="227" t="s">
        <v>770</v>
      </c>
      <c r="AE286" s="953">
        <f>SUM(AE287:AH287)</f>
        <v>0</v>
      </c>
      <c r="AF286" s="954"/>
      <c r="AG286" s="954"/>
      <c r="AH286" s="954"/>
      <c r="AI286" s="206"/>
    </row>
    <row r="287" spans="1:35" ht="21" hidden="1" customHeight="1" outlineLevel="2" x14ac:dyDescent="0.35">
      <c r="A287" s="988"/>
      <c r="B287" s="989"/>
      <c r="C287" s="997"/>
      <c r="D287" s="15"/>
      <c r="E287" s="15"/>
      <c r="F287" s="15"/>
      <c r="G287" s="15"/>
      <c r="H287" s="15"/>
      <c r="I287" s="15"/>
      <c r="J287" s="15"/>
      <c r="K287" s="15"/>
      <c r="L287" s="15"/>
      <c r="M287" s="15"/>
      <c r="N287" s="15"/>
      <c r="O287" s="15"/>
      <c r="P287" s="15"/>
      <c r="Q287" s="15"/>
      <c r="R287" s="15"/>
      <c r="S287" s="15"/>
      <c r="T287" s="15"/>
      <c r="U287" s="229" t="s">
        <v>226</v>
      </c>
      <c r="V287" s="272">
        <v>521</v>
      </c>
      <c r="W287" s="225"/>
      <c r="X287" s="953">
        <f>SUMIFS(COMPRAS!BG:BG,COMPRAS!BF:BF,V287,COMPRAS!CS:CS,"&lt;&gt;01-REGIMEN GENERAL",COMPRAS!DD:DD,"=SI")+SUMIFS(COMPRAS!BP:BP,COMPRAS!BO:BO,V287,COMPRAS!CS:CS,"&lt;&gt;01-REGIMEN GENERAL",COMPRAS!DD:DD,"=SI")+SUMIFS(COMPRAS!BY:BY,COMPRAS!BX:BX,V287,COMPRAS!CS:CS,"&lt;&gt;01-REGIMEN GENERAL",COMPRAS!DD:DD,"=SI")</f>
        <v>0</v>
      </c>
      <c r="Y287" s="954"/>
      <c r="Z287" s="954"/>
      <c r="AA287" s="954"/>
      <c r="AB287" s="224"/>
      <c r="AC287" s="52"/>
      <c r="AD287" s="227"/>
      <c r="AE287" s="953">
        <f>SUMIFS(COMPRAS!BI:BI,COMPRAS!BF:BF,V287,COMPRAS!CS:CS,"&lt;&gt;01-REGIMEN GENERAL",COMPRAS!DD:DD,"=SI")+SUMIFS(COMPRAS!BR:BR,COMPRAS!BO:BO,V287,COMPRAS!CS:CS,"&lt;&gt;01-REGIMEN GENERAL",COMPRAS!DD:DD,"=SI")+SUMIFS(COMPRAS!CA:CA,COMPRAS!BX:BX,V287,COMPRAS!CS:CS,"&lt;&gt;01-REGIMEN GENERAL",COMPRAS!DD:DD,"=SI")</f>
        <v>0</v>
      </c>
      <c r="AF287" s="954"/>
      <c r="AG287" s="954"/>
      <c r="AH287" s="954"/>
      <c r="AI287" s="206"/>
    </row>
    <row r="288" spans="1:35" ht="21" customHeight="1" outlineLevel="1" collapsed="1" x14ac:dyDescent="0.35">
      <c r="A288" s="988"/>
      <c r="B288" s="989"/>
      <c r="C288" s="997"/>
      <c r="D288" s="15" t="s">
        <v>940</v>
      </c>
      <c r="E288" s="15"/>
      <c r="F288" s="15"/>
      <c r="G288" s="15"/>
      <c r="H288" s="15"/>
      <c r="I288" s="15"/>
      <c r="J288" s="15"/>
      <c r="K288" s="15"/>
      <c r="L288" s="15"/>
      <c r="M288" s="15"/>
      <c r="N288" s="15"/>
      <c r="O288" s="15"/>
      <c r="P288" s="15"/>
      <c r="Q288" s="15"/>
      <c r="R288" s="15"/>
      <c r="S288" s="15"/>
      <c r="T288" s="15"/>
      <c r="U288" s="130"/>
      <c r="V288" s="226">
        <v>430</v>
      </c>
      <c r="W288" s="225" t="s">
        <v>770</v>
      </c>
      <c r="X288" s="953">
        <f>SUM(X289:AA289)</f>
        <v>0</v>
      </c>
      <c r="Y288" s="954"/>
      <c r="Z288" s="954"/>
      <c r="AA288" s="954"/>
      <c r="AB288" s="224"/>
      <c r="AC288" s="54">
        <v>480</v>
      </c>
      <c r="AD288" s="227" t="s">
        <v>770</v>
      </c>
      <c r="AE288" s="953">
        <f>SUM(AE289:AH289)</f>
        <v>0</v>
      </c>
      <c r="AF288" s="954"/>
      <c r="AG288" s="954"/>
      <c r="AH288" s="954"/>
      <c r="AI288" s="206"/>
    </row>
    <row r="289" spans="1:35" ht="21" hidden="1" customHeight="1" outlineLevel="2" x14ac:dyDescent="0.35">
      <c r="A289" s="988"/>
      <c r="B289" s="989"/>
      <c r="C289" s="997"/>
      <c r="D289" s="15"/>
      <c r="E289" s="15"/>
      <c r="F289" s="15"/>
      <c r="G289" s="15"/>
      <c r="H289" s="15"/>
      <c r="I289" s="15"/>
      <c r="J289" s="15"/>
      <c r="K289" s="15"/>
      <c r="L289" s="15"/>
      <c r="M289" s="15"/>
      <c r="N289" s="15"/>
      <c r="O289" s="15"/>
      <c r="P289" s="15"/>
      <c r="Q289" s="15"/>
      <c r="R289" s="15"/>
      <c r="S289" s="15"/>
      <c r="T289" s="15"/>
      <c r="U289" s="229" t="s">
        <v>1086</v>
      </c>
      <c r="V289" s="272" t="s">
        <v>227</v>
      </c>
      <c r="W289" s="225"/>
      <c r="X289" s="953">
        <f>SUMIFS(COMPRAS!BG:BG,COMPRAS!BF:BF,V289,COMPRAS!CS:CS,"&lt;&gt;01-REGIMEN GENERAL",COMPRAS!DD:DD,"=SI")+SUMIFS(COMPRAS!BP:BP,COMPRAS!BO:BO,V289,COMPRAS!CS:CS,"&lt;&gt;01-REGIMEN GENERAL",COMPRAS!DD:DD,"=SI")+SUMIFS(COMPRAS!BY:BY,COMPRAS!BX:BX,V289,COMPRAS!CS:CS,"&lt;&gt;01-REGIMEN GENERAL",COMPRAS!DD:DD,"=SI")</f>
        <v>0</v>
      </c>
      <c r="Y289" s="954"/>
      <c r="Z289" s="954"/>
      <c r="AA289" s="954"/>
      <c r="AB289" s="224"/>
      <c r="AC289" s="52"/>
      <c r="AD289" s="227"/>
      <c r="AE289" s="953">
        <f>SUMIFS(COMPRAS!BI:BI,COMPRAS!BF:BF,V289,COMPRAS!CS:CS,"&lt;&gt;01-REGIMEN GENERAL",COMPRAS!DD:DD,"=SI")+SUMIFS(COMPRAS!BR:BR,COMPRAS!BO:BO,V289,COMPRAS!CS:CS,"&lt;&gt;01-REGIMEN GENERAL",COMPRAS!DD:DD,"=SI")+SUMIFS(COMPRAS!CA:CA,COMPRAS!BX:BX,V289,COMPRAS!CS:CS,"&lt;&gt;01-REGIMEN GENERAL",COMPRAS!DD:DD,"=SI")</f>
        <v>0</v>
      </c>
      <c r="AF289" s="954"/>
      <c r="AG289" s="954"/>
      <c r="AH289" s="954"/>
      <c r="AI289" s="206"/>
    </row>
    <row r="290" spans="1:35" ht="21" customHeight="1" outlineLevel="1" collapsed="1" x14ac:dyDescent="0.35">
      <c r="A290" s="988"/>
      <c r="B290" s="989"/>
      <c r="C290" s="997"/>
      <c r="D290" s="15" t="s">
        <v>939</v>
      </c>
      <c r="E290" s="15"/>
      <c r="F290" s="15"/>
      <c r="G290" s="15"/>
      <c r="H290" s="15"/>
      <c r="I290" s="15"/>
      <c r="J290" s="15"/>
      <c r="K290" s="15"/>
      <c r="L290" s="15"/>
      <c r="M290" s="15"/>
      <c r="N290" s="15"/>
      <c r="O290" s="15"/>
      <c r="P290" s="15"/>
      <c r="Q290" s="15"/>
      <c r="R290" s="15"/>
      <c r="S290" s="15"/>
      <c r="T290" s="15"/>
      <c r="U290" s="130"/>
      <c r="V290" s="226">
        <v>431</v>
      </c>
      <c r="W290" s="225" t="s">
        <v>770</v>
      </c>
      <c r="X290" s="953">
        <f>SUM(X291:AA291)</f>
        <v>0</v>
      </c>
      <c r="Y290" s="954"/>
      <c r="Z290" s="954"/>
      <c r="AA290" s="954"/>
      <c r="AB290" s="224"/>
      <c r="AC290" s="54">
        <v>481</v>
      </c>
      <c r="AD290" s="227" t="s">
        <v>770</v>
      </c>
      <c r="AE290" s="953">
        <f>SUM(AE291:AH291)</f>
        <v>0</v>
      </c>
      <c r="AF290" s="954"/>
      <c r="AG290" s="954"/>
      <c r="AH290" s="954"/>
      <c r="AI290" s="206"/>
    </row>
    <row r="291" spans="1:35" ht="21" hidden="1" customHeight="1" outlineLevel="2" x14ac:dyDescent="0.35">
      <c r="A291" s="988"/>
      <c r="B291" s="989"/>
      <c r="C291" s="997"/>
      <c r="D291" s="15"/>
      <c r="E291" s="15"/>
      <c r="F291" s="15"/>
      <c r="G291" s="15"/>
      <c r="H291" s="15"/>
      <c r="I291" s="15"/>
      <c r="J291" s="15"/>
      <c r="K291" s="15"/>
      <c r="L291" s="15"/>
      <c r="M291" s="15"/>
      <c r="N291" s="15"/>
      <c r="O291" s="15"/>
      <c r="P291" s="15"/>
      <c r="Q291" s="15"/>
      <c r="R291" s="15"/>
      <c r="S291" s="15"/>
      <c r="T291" s="15"/>
      <c r="U291" s="229" t="s">
        <v>1065</v>
      </c>
      <c r="V291" s="272" t="s">
        <v>1064</v>
      </c>
      <c r="W291" s="225"/>
      <c r="X291" s="953">
        <f>SUMIFS(COMPRAS!BG:BG,COMPRAS!BF:BF,V291,COMPRAS!CS:CS,"&lt;&gt;01-REGIMEN GENERAL",COMPRAS!DD:DD,"=SI")+SUMIFS(COMPRAS!BP:BP,COMPRAS!BO:BO,V291,COMPRAS!CS:CS,"&lt;&gt;01-REGIMEN GENERAL",COMPRAS!DD:DD,"=SI")+SUMIFS(COMPRAS!BY:BY,COMPRAS!BX:BX,V291,COMPRAS!CS:CS,"&lt;&gt;01-REGIMEN GENERAL",COMPRAS!DD:DD,"=SI")</f>
        <v>0</v>
      </c>
      <c r="Y291" s="954"/>
      <c r="Z291" s="954"/>
      <c r="AA291" s="954"/>
      <c r="AB291" s="224"/>
      <c r="AC291" s="52"/>
      <c r="AD291" s="227"/>
      <c r="AE291" s="953">
        <f>SUMIFS(COMPRAS!BI:BI,COMPRAS!BF:BF,V291,COMPRAS!CS:CS,"&lt;&gt;01-REGIMEN GENERAL",COMPRAS!DD:DD,"=SI")+SUMIFS(COMPRAS!BR:BR,COMPRAS!BO:BO,V291,COMPRAS!CS:CS,"&lt;&gt;01-REGIMEN GENERAL",COMPRAS!DD:DD,"=SI")+SUMIFS(COMPRAS!CA:CA,COMPRAS!BX:BX,V291,COMPRAS!CS:CS,"&lt;&gt;01-REGIMEN GENERAL",COMPRAS!DD:DD,"=SI")</f>
        <v>0</v>
      </c>
      <c r="AF291" s="954"/>
      <c r="AG291" s="954"/>
      <c r="AH291" s="954"/>
      <c r="AI291" s="206"/>
    </row>
    <row r="292" spans="1:35" ht="21" customHeight="1" outlineLevel="1" collapsed="1" x14ac:dyDescent="0.35">
      <c r="A292" s="988"/>
      <c r="B292" s="989"/>
      <c r="C292" s="997"/>
      <c r="D292" s="15" t="s">
        <v>938</v>
      </c>
      <c r="E292" s="15"/>
      <c r="F292" s="15"/>
      <c r="G292" s="15"/>
      <c r="H292" s="15"/>
      <c r="I292" s="15"/>
      <c r="J292" s="15"/>
      <c r="K292" s="15"/>
      <c r="L292" s="15"/>
      <c r="M292" s="15"/>
      <c r="N292" s="15"/>
      <c r="O292" s="15"/>
      <c r="P292" s="15"/>
      <c r="Q292" s="15"/>
      <c r="R292" s="15"/>
      <c r="S292" s="15"/>
      <c r="T292" s="15"/>
      <c r="U292" s="130"/>
      <c r="V292" s="226">
        <v>432</v>
      </c>
      <c r="W292" s="225" t="s">
        <v>770</v>
      </c>
      <c r="X292" s="953">
        <f>SUM(X293:AA318)</f>
        <v>0</v>
      </c>
      <c r="Y292" s="954"/>
      <c r="Z292" s="954"/>
      <c r="AA292" s="954"/>
      <c r="AB292" s="224"/>
      <c r="AC292" s="54">
        <v>482</v>
      </c>
      <c r="AD292" s="227" t="s">
        <v>770</v>
      </c>
      <c r="AE292" s="953">
        <f>SUM(AE293:AH318)</f>
        <v>0</v>
      </c>
      <c r="AF292" s="954"/>
      <c r="AG292" s="954"/>
      <c r="AH292" s="954"/>
      <c r="AI292" s="206"/>
    </row>
    <row r="293" spans="1:35" ht="21" hidden="1" customHeight="1" outlineLevel="2" x14ac:dyDescent="0.35">
      <c r="A293" s="988"/>
      <c r="B293" s="989"/>
      <c r="C293" s="997"/>
      <c r="D293" s="15"/>
      <c r="E293" s="15"/>
      <c r="F293" s="15"/>
      <c r="G293" s="15"/>
      <c r="H293" s="15"/>
      <c r="I293" s="15"/>
      <c r="J293" s="15"/>
      <c r="K293" s="15"/>
      <c r="L293" s="15"/>
      <c r="M293" s="15"/>
      <c r="N293" s="15"/>
      <c r="O293" s="15"/>
      <c r="P293" s="15"/>
      <c r="Q293" s="15"/>
      <c r="R293" s="15"/>
      <c r="S293" s="15"/>
      <c r="T293" s="15"/>
      <c r="U293" s="229" t="s">
        <v>173</v>
      </c>
      <c r="V293" s="272">
        <v>500</v>
      </c>
      <c r="W293" s="225"/>
      <c r="X293" s="953">
        <f>SUMIFS(COMPRAS!BG:BG,COMPRAS!BF:BF,V293,COMPRAS!CS:CS,"&lt;&gt;01-REGIMEN GENERAL",COMPRAS!DD:DD,"=SI")+SUMIFS(COMPRAS!BP:BP,COMPRAS!BO:BO,V293,COMPRAS!CS:CS,"&lt;&gt;01-REGIMEN GENERAL",COMPRAS!DD:DD,"=SI")+SUMIFS(COMPRAS!BY:BY,COMPRAS!BX:BX,V293,COMPRAS!CS:CS,"&lt;&gt;01-REGIMEN GENERAL",COMPRAS!DD:DD,"=SI")</f>
        <v>0</v>
      </c>
      <c r="Y293" s="954"/>
      <c r="Z293" s="954"/>
      <c r="AA293" s="954"/>
      <c r="AB293" s="224"/>
      <c r="AC293" s="52"/>
      <c r="AD293" s="227"/>
      <c r="AE293" s="953">
        <f>SUMIFS(COMPRAS!BI:BI,COMPRAS!BF:BF,V293,COMPRAS!CS:CS,"&lt;&gt;01-REGIMEN GENERAL",COMPRAS!DD:DD,"=SI")+SUMIFS(COMPRAS!BR:BR,COMPRAS!BO:BO,V293,COMPRAS!CS:CS,"&lt;&gt;01-REGIMEN GENERAL",COMPRAS!DD:DD,"=SI")+SUMIFS(COMPRAS!CA:CA,COMPRAS!BX:BX,V293,COMPRAS!CS:CS,"&lt;&gt;01-REGIMEN GENERAL",COMPRAS!DD:DD,"=SI")</f>
        <v>0</v>
      </c>
      <c r="AF293" s="954"/>
      <c r="AG293" s="954"/>
      <c r="AH293" s="954"/>
      <c r="AI293" s="206"/>
    </row>
    <row r="294" spans="1:35" ht="21" hidden="1" customHeight="1" outlineLevel="2" x14ac:dyDescent="0.35">
      <c r="A294" s="988"/>
      <c r="B294" s="989"/>
      <c r="C294" s="997"/>
      <c r="D294" s="15"/>
      <c r="E294" s="15"/>
      <c r="F294" s="15"/>
      <c r="G294" s="15"/>
      <c r="H294" s="15"/>
      <c r="I294" s="15"/>
      <c r="J294" s="15"/>
      <c r="K294" s="15"/>
      <c r="L294" s="15"/>
      <c r="M294" s="15"/>
      <c r="N294" s="15"/>
      <c r="O294" s="15"/>
      <c r="P294" s="15"/>
      <c r="Q294" s="15"/>
      <c r="R294" s="15"/>
      <c r="S294" s="15"/>
      <c r="T294" s="15"/>
      <c r="U294" s="229" t="s">
        <v>174</v>
      </c>
      <c r="V294" s="272">
        <v>501</v>
      </c>
      <c r="W294" s="225"/>
      <c r="X294" s="953">
        <f>SUMIFS(COMPRAS!BG:BG,COMPRAS!BF:BF,V294,COMPRAS!CS:CS,"&lt;&gt;01-REGIMEN GENERAL",COMPRAS!DD:DD,"=SI")+SUMIFS(COMPRAS!BP:BP,COMPRAS!BO:BO,V294,COMPRAS!CS:CS,"&lt;&gt;01-REGIMEN GENERAL",COMPRAS!DD:DD,"=SI")+SUMIFS(COMPRAS!BY:BY,COMPRAS!BX:BX,V294,COMPRAS!CS:CS,"&lt;&gt;01-REGIMEN GENERAL",COMPRAS!DD:DD,"=SI")</f>
        <v>0</v>
      </c>
      <c r="Y294" s="954"/>
      <c r="Z294" s="954"/>
      <c r="AA294" s="954"/>
      <c r="AB294" s="224"/>
      <c r="AC294" s="52"/>
      <c r="AD294" s="227"/>
      <c r="AE294" s="953">
        <f>SUMIFS(COMPRAS!BI:BI,COMPRAS!BF:BF,V294,COMPRAS!CS:CS,"&lt;&gt;01-REGIMEN GENERAL",COMPRAS!DD:DD,"=SI")+SUMIFS(COMPRAS!BR:BR,COMPRAS!BO:BO,V294,COMPRAS!CS:CS,"&lt;&gt;01-REGIMEN GENERAL",COMPRAS!DD:DD,"=SI")+SUMIFS(COMPRAS!CA:CA,COMPRAS!BX:BX,V294,COMPRAS!CS:CS,"&lt;&gt;01-REGIMEN GENERAL",COMPRAS!DD:DD,"=SI")</f>
        <v>0</v>
      </c>
      <c r="AF294" s="954"/>
      <c r="AG294" s="954"/>
      <c r="AH294" s="954"/>
      <c r="AI294" s="206"/>
    </row>
    <row r="295" spans="1:35" ht="21" hidden="1" customHeight="1" outlineLevel="2" x14ac:dyDescent="0.35">
      <c r="A295" s="988"/>
      <c r="B295" s="989"/>
      <c r="C295" s="997"/>
      <c r="D295" s="15"/>
      <c r="E295" s="15"/>
      <c r="F295" s="15"/>
      <c r="G295" s="15"/>
      <c r="H295" s="15"/>
      <c r="I295" s="15"/>
      <c r="J295" s="15"/>
      <c r="K295" s="15"/>
      <c r="L295" s="15"/>
      <c r="M295" s="15"/>
      <c r="N295" s="15"/>
      <c r="O295" s="15"/>
      <c r="P295" s="15"/>
      <c r="Q295" s="15"/>
      <c r="R295" s="15"/>
      <c r="S295" s="15"/>
      <c r="T295" s="15"/>
      <c r="U295" s="229" t="s">
        <v>175</v>
      </c>
      <c r="V295" s="272">
        <v>503</v>
      </c>
      <c r="W295" s="225"/>
      <c r="X295" s="953">
        <f>SUMIFS(COMPRAS!BG:BG,COMPRAS!BF:BF,V295,COMPRAS!CS:CS,"&lt;&gt;01-REGIMEN GENERAL",COMPRAS!DD:DD,"=SI")+SUMIFS(COMPRAS!BP:BP,COMPRAS!BO:BO,V295,COMPRAS!CS:CS,"&lt;&gt;01-REGIMEN GENERAL",COMPRAS!DD:DD,"=SI")+SUMIFS(COMPRAS!BY:BY,COMPRAS!BX:BX,V295,COMPRAS!CS:CS,"&lt;&gt;01-REGIMEN GENERAL",COMPRAS!DD:DD,"=SI")</f>
        <v>0</v>
      </c>
      <c r="Y295" s="954"/>
      <c r="Z295" s="954"/>
      <c r="AA295" s="954"/>
      <c r="AB295" s="224"/>
      <c r="AC295" s="52"/>
      <c r="AD295" s="227"/>
      <c r="AE295" s="953">
        <f>SUMIFS(COMPRAS!BI:BI,COMPRAS!BF:BF,V295,COMPRAS!CS:CS,"&lt;&gt;01-REGIMEN GENERAL",COMPRAS!DD:DD,"=SI")+SUMIFS(COMPRAS!BR:BR,COMPRAS!BO:BO,V295,COMPRAS!CS:CS,"&lt;&gt;01-REGIMEN GENERAL",COMPRAS!DD:DD,"=SI")+SUMIFS(COMPRAS!CA:CA,COMPRAS!BX:BX,V295,COMPRAS!CS:CS,"&lt;&gt;01-REGIMEN GENERAL",COMPRAS!DD:DD,"=SI")</f>
        <v>0</v>
      </c>
      <c r="AF295" s="954"/>
      <c r="AG295" s="954"/>
      <c r="AH295" s="954"/>
      <c r="AI295" s="206"/>
    </row>
    <row r="296" spans="1:35" ht="21" hidden="1" customHeight="1" outlineLevel="2" x14ac:dyDescent="0.35">
      <c r="A296" s="988"/>
      <c r="B296" s="989"/>
      <c r="C296" s="997"/>
      <c r="D296" s="15"/>
      <c r="E296" s="15"/>
      <c r="F296" s="15"/>
      <c r="G296" s="15"/>
      <c r="H296" s="15"/>
      <c r="I296" s="15"/>
      <c r="J296" s="15"/>
      <c r="K296" s="15"/>
      <c r="L296" s="15"/>
      <c r="M296" s="15"/>
      <c r="N296" s="15"/>
      <c r="O296" s="15"/>
      <c r="P296" s="15"/>
      <c r="Q296" s="15"/>
      <c r="R296" s="15"/>
      <c r="S296" s="15"/>
      <c r="T296" s="15"/>
      <c r="U296" s="229" t="s">
        <v>186</v>
      </c>
      <c r="V296" s="272">
        <v>505</v>
      </c>
      <c r="W296" s="225"/>
      <c r="X296" s="953">
        <f>SUMIFS(COMPRAS!BG:BG,COMPRAS!BF:BF,V296,COMPRAS!CS:CS,"&lt;&gt;01-REGIMEN GENERAL",COMPRAS!DD:DD,"=SI")+SUMIFS(COMPRAS!BP:BP,COMPRAS!BO:BO,V296,COMPRAS!CS:CS,"&lt;&gt;01-REGIMEN GENERAL",COMPRAS!DD:DD,"=SI")+SUMIFS(COMPRAS!BY:BY,COMPRAS!BX:BX,V296,COMPRAS!CS:CS,"&lt;&gt;01-REGIMEN GENERAL",COMPRAS!DD:DD,"=SI")</f>
        <v>0</v>
      </c>
      <c r="Y296" s="954"/>
      <c r="Z296" s="954"/>
      <c r="AA296" s="954"/>
      <c r="AB296" s="224"/>
      <c r="AC296" s="52"/>
      <c r="AD296" s="227"/>
      <c r="AE296" s="953">
        <f>SUMIFS(COMPRAS!BI:BI,COMPRAS!BF:BF,V296,COMPRAS!CS:CS,"&lt;&gt;01-REGIMEN GENERAL",COMPRAS!DD:DD,"=SI")+SUMIFS(COMPRAS!BR:BR,COMPRAS!BO:BO,V296,COMPRAS!CS:CS,"&lt;&gt;01-REGIMEN GENERAL",COMPRAS!DD:DD,"=SI")+SUMIFS(COMPRAS!CA:CA,COMPRAS!BX:BX,V296,COMPRAS!CS:CS,"&lt;&gt;01-REGIMEN GENERAL",COMPRAS!DD:DD,"=SI")</f>
        <v>0</v>
      </c>
      <c r="AF296" s="954"/>
      <c r="AG296" s="954"/>
      <c r="AH296" s="954"/>
      <c r="AI296" s="206"/>
    </row>
    <row r="297" spans="1:35" ht="21" hidden="1" customHeight="1" outlineLevel="2" x14ac:dyDescent="0.35">
      <c r="A297" s="988"/>
      <c r="B297" s="989"/>
      <c r="C297" s="997"/>
      <c r="D297" s="15"/>
      <c r="E297" s="15"/>
      <c r="F297" s="15"/>
      <c r="G297" s="15"/>
      <c r="H297" s="15"/>
      <c r="I297" s="15"/>
      <c r="J297" s="15"/>
      <c r="K297" s="15"/>
      <c r="L297" s="15"/>
      <c r="M297" s="15"/>
      <c r="N297" s="15"/>
      <c r="O297" s="15"/>
      <c r="P297" s="15"/>
      <c r="Q297" s="15"/>
      <c r="R297" s="15"/>
      <c r="S297" s="15"/>
      <c r="T297" s="15"/>
      <c r="U297" s="229" t="s">
        <v>199</v>
      </c>
      <c r="V297" s="272">
        <v>509</v>
      </c>
      <c r="W297" s="225"/>
      <c r="X297" s="953">
        <f>SUMIFS(COMPRAS!BG:BG,COMPRAS!BF:BF,V297,COMPRAS!CS:CS,"&lt;&gt;01-REGIMEN GENERAL",COMPRAS!DD:DD,"=SI")+SUMIFS(COMPRAS!BP:BP,COMPRAS!BO:BO,V297,COMPRAS!CS:CS,"&lt;&gt;01-REGIMEN GENERAL",COMPRAS!DD:DD,"=SI")+SUMIFS(COMPRAS!BY:BY,COMPRAS!BX:BX,V297,COMPRAS!CS:CS,"&lt;&gt;01-REGIMEN GENERAL",COMPRAS!DD:DD,"=SI")</f>
        <v>0</v>
      </c>
      <c r="Y297" s="954"/>
      <c r="Z297" s="954"/>
      <c r="AA297" s="954"/>
      <c r="AB297" s="224"/>
      <c r="AC297" s="52"/>
      <c r="AD297" s="227"/>
      <c r="AE297" s="953">
        <f>SUMIFS(COMPRAS!BI:BI,COMPRAS!BF:BF,V297,COMPRAS!CS:CS,"&lt;&gt;01-REGIMEN GENERAL",COMPRAS!DD:DD,"=SI")+SUMIFS(COMPRAS!BR:BR,COMPRAS!BO:BO,V297,COMPRAS!CS:CS,"&lt;&gt;01-REGIMEN GENERAL",COMPRAS!DD:DD,"=SI")+SUMIFS(COMPRAS!CA:CA,COMPRAS!BX:BX,V297,COMPRAS!CS:CS,"&lt;&gt;01-REGIMEN GENERAL",COMPRAS!DD:DD,"=SI")</f>
        <v>0</v>
      </c>
      <c r="AF297" s="954"/>
      <c r="AG297" s="954"/>
      <c r="AH297" s="954"/>
      <c r="AI297" s="206"/>
    </row>
    <row r="298" spans="1:35" ht="21" hidden="1" customHeight="1" outlineLevel="2" x14ac:dyDescent="0.35">
      <c r="A298" s="988"/>
      <c r="B298" s="989"/>
      <c r="C298" s="997"/>
      <c r="D298" s="15"/>
      <c r="E298" s="15"/>
      <c r="F298" s="15"/>
      <c r="G298" s="15"/>
      <c r="H298" s="15"/>
      <c r="I298" s="15"/>
      <c r="J298" s="15"/>
      <c r="K298" s="15"/>
      <c r="L298" s="15"/>
      <c r="M298" s="15"/>
      <c r="N298" s="15"/>
      <c r="O298" s="15"/>
      <c r="P298" s="15"/>
      <c r="Q298" s="15"/>
      <c r="R298" s="15"/>
      <c r="S298" s="15"/>
      <c r="T298" s="15"/>
      <c r="U298" s="229" t="s">
        <v>202</v>
      </c>
      <c r="V298" s="272">
        <v>510</v>
      </c>
      <c r="W298" s="225"/>
      <c r="X298" s="953">
        <f>SUMIFS(COMPRAS!BG:BG,COMPRAS!BF:BF,V298,COMPRAS!CS:CS,"&lt;&gt;01-REGIMEN GENERAL",COMPRAS!DD:DD,"=SI")+SUMIFS(COMPRAS!BP:BP,COMPRAS!BO:BO,V298,COMPRAS!CS:CS,"&lt;&gt;01-REGIMEN GENERAL",COMPRAS!DD:DD,"=SI")+SUMIFS(COMPRAS!BY:BY,COMPRAS!BX:BX,V298,COMPRAS!CS:CS,"&lt;&gt;01-REGIMEN GENERAL",COMPRAS!DD:DD,"=SI")</f>
        <v>0</v>
      </c>
      <c r="Y298" s="954"/>
      <c r="Z298" s="954"/>
      <c r="AA298" s="954"/>
      <c r="AB298" s="224"/>
      <c r="AC298" s="52"/>
      <c r="AD298" s="227"/>
      <c r="AE298" s="953">
        <f>SUMIFS(COMPRAS!BI:BI,COMPRAS!BF:BF,V298,COMPRAS!CS:CS,"&lt;&gt;01-REGIMEN GENERAL",COMPRAS!DD:DD,"=SI")+SUMIFS(COMPRAS!BR:BR,COMPRAS!BO:BO,V298,COMPRAS!CS:CS,"&lt;&gt;01-REGIMEN GENERAL",COMPRAS!DD:DD,"=SI")+SUMIFS(COMPRAS!CA:CA,COMPRAS!BX:BX,V298,COMPRAS!CS:CS,"&lt;&gt;01-REGIMEN GENERAL",COMPRAS!DD:DD,"=SI")</f>
        <v>0</v>
      </c>
      <c r="AF298" s="954"/>
      <c r="AG298" s="954"/>
      <c r="AH298" s="954"/>
      <c r="AI298" s="206"/>
    </row>
    <row r="299" spans="1:35" ht="21" hidden="1" customHeight="1" outlineLevel="2" x14ac:dyDescent="0.35">
      <c r="A299" s="988"/>
      <c r="B299" s="989"/>
      <c r="C299" s="997"/>
      <c r="D299" s="15"/>
      <c r="E299" s="15"/>
      <c r="F299" s="15"/>
      <c r="G299" s="15"/>
      <c r="H299" s="15"/>
      <c r="I299" s="15"/>
      <c r="J299" s="15"/>
      <c r="K299" s="15"/>
      <c r="L299" s="15"/>
      <c r="M299" s="15"/>
      <c r="N299" s="15"/>
      <c r="O299" s="15"/>
      <c r="P299" s="15"/>
      <c r="Q299" s="15"/>
      <c r="R299" s="15"/>
      <c r="S299" s="15"/>
      <c r="T299" s="15"/>
      <c r="U299" s="229" t="s">
        <v>203</v>
      </c>
      <c r="V299" s="272">
        <v>511</v>
      </c>
      <c r="W299" s="225"/>
      <c r="X299" s="953">
        <f>SUMIFS(COMPRAS!BG:BG,COMPRAS!BF:BF,V299,COMPRAS!CS:CS,"&lt;&gt;01-REGIMEN GENERAL",COMPRAS!DD:DD,"=SI")+SUMIFS(COMPRAS!BP:BP,COMPRAS!BO:BO,V299,COMPRAS!CS:CS,"&lt;&gt;01-REGIMEN GENERAL",COMPRAS!DD:DD,"=SI")+SUMIFS(COMPRAS!BY:BY,COMPRAS!BX:BX,V299,COMPRAS!CS:CS,"&lt;&gt;01-REGIMEN GENERAL",COMPRAS!DD:DD,"=SI")</f>
        <v>0</v>
      </c>
      <c r="Y299" s="954"/>
      <c r="Z299" s="954"/>
      <c r="AA299" s="954"/>
      <c r="AB299" s="224"/>
      <c r="AC299" s="52"/>
      <c r="AD299" s="227"/>
      <c r="AE299" s="953">
        <f>SUMIFS(COMPRAS!BI:BI,COMPRAS!BF:BF,V299,COMPRAS!CS:CS,"&lt;&gt;01-REGIMEN GENERAL",COMPRAS!DD:DD,"=SI")+SUMIFS(COMPRAS!BR:BR,COMPRAS!BO:BO,V299,COMPRAS!CS:CS,"&lt;&gt;01-REGIMEN GENERAL",COMPRAS!DD:DD,"=SI")+SUMIFS(COMPRAS!CA:CA,COMPRAS!BX:BX,V299,COMPRAS!CS:CS,"&lt;&gt;01-REGIMEN GENERAL",COMPRAS!DD:DD,"=SI")</f>
        <v>0</v>
      </c>
      <c r="AF299" s="954"/>
      <c r="AG299" s="954"/>
      <c r="AH299" s="954"/>
      <c r="AI299" s="206"/>
    </row>
    <row r="300" spans="1:35" ht="21" hidden="1" customHeight="1" outlineLevel="2" x14ac:dyDescent="0.35">
      <c r="A300" s="988"/>
      <c r="B300" s="989"/>
      <c r="C300" s="997"/>
      <c r="D300" s="15"/>
      <c r="E300" s="15"/>
      <c r="F300" s="15"/>
      <c r="G300" s="15"/>
      <c r="H300" s="15"/>
      <c r="I300" s="15"/>
      <c r="J300" s="15"/>
      <c r="K300" s="15"/>
      <c r="L300" s="15"/>
      <c r="M300" s="15"/>
      <c r="N300" s="15"/>
      <c r="O300" s="15"/>
      <c r="P300" s="15"/>
      <c r="Q300" s="15"/>
      <c r="R300" s="15"/>
      <c r="S300" s="15"/>
      <c r="T300" s="15"/>
      <c r="U300" s="229" t="s">
        <v>204</v>
      </c>
      <c r="V300" s="272">
        <v>512</v>
      </c>
      <c r="W300" s="225"/>
      <c r="X300" s="953">
        <f>SUMIFS(COMPRAS!BG:BG,COMPRAS!BF:BF,V300,COMPRAS!CS:CS,"&lt;&gt;01-REGIMEN GENERAL",COMPRAS!DD:DD,"=SI")+SUMIFS(COMPRAS!BP:BP,COMPRAS!BO:BO,V300,COMPRAS!CS:CS,"&lt;&gt;01-REGIMEN GENERAL",COMPRAS!DD:DD,"=SI")+SUMIFS(COMPRAS!BY:BY,COMPRAS!BX:BX,V300,COMPRAS!CS:CS,"&lt;&gt;01-REGIMEN GENERAL",COMPRAS!DD:DD,"=SI")</f>
        <v>0</v>
      </c>
      <c r="Y300" s="954"/>
      <c r="Z300" s="954"/>
      <c r="AA300" s="954"/>
      <c r="AB300" s="224"/>
      <c r="AC300" s="52"/>
      <c r="AD300" s="227"/>
      <c r="AE300" s="953">
        <f>SUMIFS(COMPRAS!BI:BI,COMPRAS!BF:BF,V300,COMPRAS!CS:CS,"&lt;&gt;01-REGIMEN GENERAL",COMPRAS!DD:DD,"=SI")+SUMIFS(COMPRAS!BR:BR,COMPRAS!BO:BO,V300,COMPRAS!CS:CS,"&lt;&gt;01-REGIMEN GENERAL",COMPRAS!DD:DD,"=SI")+SUMIFS(COMPRAS!CA:CA,COMPRAS!BX:BX,V300,COMPRAS!CS:CS,"&lt;&gt;01-REGIMEN GENERAL",COMPRAS!DD:DD,"=SI")</f>
        <v>0</v>
      </c>
      <c r="AF300" s="954"/>
      <c r="AG300" s="954"/>
      <c r="AH300" s="954"/>
      <c r="AI300" s="206"/>
    </row>
    <row r="301" spans="1:35" ht="21" hidden="1" customHeight="1" outlineLevel="2" x14ac:dyDescent="0.35">
      <c r="A301" s="988"/>
      <c r="B301" s="989"/>
      <c r="C301" s="997"/>
      <c r="D301" s="15"/>
      <c r="E301" s="15"/>
      <c r="F301" s="15"/>
      <c r="G301" s="15"/>
      <c r="H301" s="15"/>
      <c r="I301" s="15"/>
      <c r="J301" s="15"/>
      <c r="K301" s="15"/>
      <c r="L301" s="15"/>
      <c r="M301" s="15"/>
      <c r="N301" s="15"/>
      <c r="O301" s="15"/>
      <c r="P301" s="15"/>
      <c r="Q301" s="15"/>
      <c r="R301" s="15"/>
      <c r="S301" s="15"/>
      <c r="T301" s="15"/>
      <c r="U301" s="229" t="s">
        <v>205</v>
      </c>
      <c r="V301" s="272">
        <v>513</v>
      </c>
      <c r="W301" s="225"/>
      <c r="X301" s="953">
        <f>SUMIFS(COMPRAS!BG:BG,COMPRAS!BF:BF,V301,COMPRAS!CS:CS,"&lt;&gt;01-REGIMEN GENERAL",COMPRAS!DD:DD,"=SI")+SUMIFS(COMPRAS!BP:BP,COMPRAS!BO:BO,V301,COMPRAS!CS:CS,"&lt;&gt;01-REGIMEN GENERAL",COMPRAS!DD:DD,"=SI")+SUMIFS(COMPRAS!BY:BY,COMPRAS!BX:BX,V301,COMPRAS!CS:CS,"&lt;&gt;01-REGIMEN GENERAL",COMPRAS!DD:DD,"=SI")</f>
        <v>0</v>
      </c>
      <c r="Y301" s="954"/>
      <c r="Z301" s="954"/>
      <c r="AA301" s="954"/>
      <c r="AB301" s="224"/>
      <c r="AC301" s="52"/>
      <c r="AD301" s="227"/>
      <c r="AE301" s="953">
        <f>SUMIFS(COMPRAS!BI:BI,COMPRAS!BF:BF,V301,COMPRAS!CS:CS,"&lt;&gt;01-REGIMEN GENERAL",COMPRAS!DD:DD,"=SI")+SUMIFS(COMPRAS!BR:BR,COMPRAS!BO:BO,V301,COMPRAS!CS:CS,"&lt;&gt;01-REGIMEN GENERAL",COMPRAS!DD:DD,"=SI")+SUMIFS(COMPRAS!CA:CA,COMPRAS!BX:BX,V301,COMPRAS!CS:CS,"&lt;&gt;01-REGIMEN GENERAL",COMPRAS!DD:DD,"=SI")</f>
        <v>0</v>
      </c>
      <c r="AF301" s="954"/>
      <c r="AG301" s="954"/>
      <c r="AH301" s="954"/>
      <c r="AI301" s="206"/>
    </row>
    <row r="302" spans="1:35" ht="21" hidden="1" customHeight="1" outlineLevel="2" x14ac:dyDescent="0.35">
      <c r="A302" s="988"/>
      <c r="B302" s="989"/>
      <c r="C302" s="997"/>
      <c r="D302" s="15"/>
      <c r="E302" s="15"/>
      <c r="F302" s="15"/>
      <c r="G302" s="15"/>
      <c r="H302" s="15"/>
      <c r="I302" s="15"/>
      <c r="J302" s="15"/>
      <c r="K302" s="15"/>
      <c r="L302" s="15"/>
      <c r="M302" s="15"/>
      <c r="N302" s="15"/>
      <c r="O302" s="15"/>
      <c r="P302" s="15"/>
      <c r="Q302" s="15"/>
      <c r="R302" s="15"/>
      <c r="S302" s="15"/>
      <c r="T302" s="15"/>
      <c r="U302" s="229" t="s">
        <v>208</v>
      </c>
      <c r="V302" s="272">
        <v>514</v>
      </c>
      <c r="W302" s="225"/>
      <c r="X302" s="953">
        <f>SUMIFS(COMPRAS!BG:BG,COMPRAS!BF:BF,V302,COMPRAS!CS:CS,"&lt;&gt;01-REGIMEN GENERAL",COMPRAS!DD:DD,"=SI")+SUMIFS(COMPRAS!BP:BP,COMPRAS!BO:BO,V302,COMPRAS!CS:CS,"&lt;&gt;01-REGIMEN GENERAL",COMPRAS!DD:DD,"=SI")+SUMIFS(COMPRAS!BY:BY,COMPRAS!BX:BX,V302,COMPRAS!CS:CS,"&lt;&gt;01-REGIMEN GENERAL",COMPRAS!DD:DD,"=SI")</f>
        <v>0</v>
      </c>
      <c r="Y302" s="954"/>
      <c r="Z302" s="954"/>
      <c r="AA302" s="954"/>
      <c r="AB302" s="224"/>
      <c r="AC302" s="52"/>
      <c r="AD302" s="227"/>
      <c r="AE302" s="953">
        <f>SUMIFS(COMPRAS!BI:BI,COMPRAS!BF:BF,V302,COMPRAS!CS:CS,"&lt;&gt;01-REGIMEN GENERAL",COMPRAS!DD:DD,"=SI")+SUMIFS(COMPRAS!BR:BR,COMPRAS!BO:BO,V302,COMPRAS!CS:CS,"&lt;&gt;01-REGIMEN GENERAL",COMPRAS!DD:DD,"=SI")+SUMIFS(COMPRAS!CA:CA,COMPRAS!BX:BX,V302,COMPRAS!CS:CS,"&lt;&gt;01-REGIMEN GENERAL",COMPRAS!DD:DD,"=SI")</f>
        <v>0</v>
      </c>
      <c r="AF302" s="954"/>
      <c r="AG302" s="954"/>
      <c r="AH302" s="954"/>
      <c r="AI302" s="206"/>
    </row>
    <row r="303" spans="1:35" ht="21" hidden="1" customHeight="1" outlineLevel="2" x14ac:dyDescent="0.35">
      <c r="A303" s="988"/>
      <c r="B303" s="989"/>
      <c r="C303" s="997"/>
      <c r="D303" s="15"/>
      <c r="E303" s="15"/>
      <c r="F303" s="15"/>
      <c r="G303" s="15"/>
      <c r="H303" s="15"/>
      <c r="I303" s="15"/>
      <c r="J303" s="15"/>
      <c r="K303" s="15"/>
      <c r="L303" s="15"/>
      <c r="M303" s="15"/>
      <c r="N303" s="15"/>
      <c r="O303" s="15"/>
      <c r="P303" s="15"/>
      <c r="Q303" s="15"/>
      <c r="R303" s="15"/>
      <c r="S303" s="15"/>
      <c r="T303" s="15"/>
      <c r="U303" s="229" t="s">
        <v>209</v>
      </c>
      <c r="V303" s="272">
        <v>515</v>
      </c>
      <c r="W303" s="225"/>
      <c r="X303" s="953">
        <f>SUMIFS(COMPRAS!BG:BG,COMPRAS!BF:BF,V303,COMPRAS!CS:CS,"&lt;&gt;01-REGIMEN GENERAL",COMPRAS!DD:DD,"=SI")+SUMIFS(COMPRAS!BP:BP,COMPRAS!BO:BO,V303,COMPRAS!CS:CS,"&lt;&gt;01-REGIMEN GENERAL",COMPRAS!DD:DD,"=SI")+SUMIFS(COMPRAS!BY:BY,COMPRAS!BX:BX,V303,COMPRAS!CS:CS,"&lt;&gt;01-REGIMEN GENERAL",COMPRAS!DD:DD,"=SI")</f>
        <v>0</v>
      </c>
      <c r="Y303" s="954"/>
      <c r="Z303" s="954"/>
      <c r="AA303" s="954"/>
      <c r="AB303" s="224"/>
      <c r="AC303" s="52"/>
      <c r="AD303" s="227"/>
      <c r="AE303" s="953">
        <f>SUMIFS(COMPRAS!BI:BI,COMPRAS!BF:BF,V303,COMPRAS!CS:CS,"&lt;&gt;01-REGIMEN GENERAL",COMPRAS!DD:DD,"=SI")+SUMIFS(COMPRAS!BR:BR,COMPRAS!BO:BO,V303,COMPRAS!CS:CS,"&lt;&gt;01-REGIMEN GENERAL",COMPRAS!DD:DD,"=SI")+SUMIFS(COMPRAS!CA:CA,COMPRAS!BX:BX,V303,COMPRAS!CS:CS,"&lt;&gt;01-REGIMEN GENERAL",COMPRAS!DD:DD,"=SI")</f>
        <v>0</v>
      </c>
      <c r="AF303" s="954"/>
      <c r="AG303" s="954"/>
      <c r="AH303" s="954"/>
      <c r="AI303" s="206"/>
    </row>
    <row r="304" spans="1:35" ht="21" hidden="1" customHeight="1" outlineLevel="2" x14ac:dyDescent="0.35">
      <c r="A304" s="988"/>
      <c r="B304" s="989"/>
      <c r="C304" s="997"/>
      <c r="D304" s="15"/>
      <c r="E304" s="15"/>
      <c r="F304" s="15"/>
      <c r="G304" s="15"/>
      <c r="H304" s="15"/>
      <c r="I304" s="15"/>
      <c r="J304" s="15"/>
      <c r="K304" s="15"/>
      <c r="L304" s="15"/>
      <c r="M304" s="15"/>
      <c r="N304" s="15"/>
      <c r="O304" s="15"/>
      <c r="P304" s="15"/>
      <c r="Q304" s="15"/>
      <c r="R304" s="15"/>
      <c r="S304" s="15"/>
      <c r="T304" s="15"/>
      <c r="U304" s="229" t="s">
        <v>210</v>
      </c>
      <c r="V304" s="272">
        <v>516</v>
      </c>
      <c r="W304" s="225"/>
      <c r="X304" s="953">
        <f>SUMIFS(COMPRAS!BG:BG,COMPRAS!BF:BF,V304,COMPRAS!CS:CS,"&lt;&gt;01-REGIMEN GENERAL",COMPRAS!DD:DD,"=SI")+SUMIFS(COMPRAS!BP:BP,COMPRAS!BO:BO,V304,COMPRAS!CS:CS,"&lt;&gt;01-REGIMEN GENERAL",COMPRAS!DD:DD,"=SI")+SUMIFS(COMPRAS!BY:BY,COMPRAS!BX:BX,V304,COMPRAS!CS:CS,"&lt;&gt;01-REGIMEN GENERAL",COMPRAS!DD:DD,"=SI")</f>
        <v>0</v>
      </c>
      <c r="Y304" s="954"/>
      <c r="Z304" s="954"/>
      <c r="AA304" s="954"/>
      <c r="AB304" s="224"/>
      <c r="AC304" s="52"/>
      <c r="AD304" s="227"/>
      <c r="AE304" s="953">
        <f>SUMIFS(COMPRAS!BI:BI,COMPRAS!BF:BF,V304,COMPRAS!CS:CS,"&lt;&gt;01-REGIMEN GENERAL",COMPRAS!DD:DD,"=SI")+SUMIFS(COMPRAS!BR:BR,COMPRAS!BO:BO,V304,COMPRAS!CS:CS,"&lt;&gt;01-REGIMEN GENERAL",COMPRAS!DD:DD,"=SI")+SUMIFS(COMPRAS!CA:CA,COMPRAS!BX:BX,V304,COMPRAS!CS:CS,"&lt;&gt;01-REGIMEN GENERAL",COMPRAS!DD:DD,"=SI")</f>
        <v>0</v>
      </c>
      <c r="AF304" s="954"/>
      <c r="AG304" s="954"/>
      <c r="AH304" s="954"/>
      <c r="AI304" s="206"/>
    </row>
    <row r="305" spans="1:35" ht="21" hidden="1" customHeight="1" outlineLevel="2" x14ac:dyDescent="0.35">
      <c r="A305" s="988"/>
      <c r="B305" s="989"/>
      <c r="C305" s="997"/>
      <c r="D305" s="15"/>
      <c r="E305" s="15"/>
      <c r="F305" s="15"/>
      <c r="G305" s="15"/>
      <c r="H305" s="15"/>
      <c r="I305" s="15"/>
      <c r="J305" s="15"/>
      <c r="K305" s="15"/>
      <c r="L305" s="15"/>
      <c r="M305" s="15"/>
      <c r="N305" s="15"/>
      <c r="O305" s="15"/>
      <c r="P305" s="15"/>
      <c r="Q305" s="15"/>
      <c r="R305" s="15"/>
      <c r="S305" s="15"/>
      <c r="T305" s="15"/>
      <c r="U305" s="229" t="s">
        <v>211</v>
      </c>
      <c r="V305" s="272">
        <v>517</v>
      </c>
      <c r="W305" s="225"/>
      <c r="X305" s="953">
        <f>SUMIFS(COMPRAS!BG:BG,COMPRAS!BF:BF,V305,COMPRAS!CS:CS,"&lt;&gt;01-REGIMEN GENERAL",COMPRAS!DD:DD,"=SI")+SUMIFS(COMPRAS!BP:BP,COMPRAS!BO:BO,V305,COMPRAS!CS:CS,"&lt;&gt;01-REGIMEN GENERAL",COMPRAS!DD:DD,"=SI")+SUMIFS(COMPRAS!BY:BY,COMPRAS!BX:BX,V305,COMPRAS!CS:CS,"&lt;&gt;01-REGIMEN GENERAL",COMPRAS!DD:DD,"=SI")</f>
        <v>0</v>
      </c>
      <c r="Y305" s="954"/>
      <c r="Z305" s="954"/>
      <c r="AA305" s="954"/>
      <c r="AB305" s="224"/>
      <c r="AC305" s="52"/>
      <c r="AD305" s="227"/>
      <c r="AE305" s="953">
        <f>SUMIFS(COMPRAS!BI:BI,COMPRAS!BF:BF,V305,COMPRAS!CS:CS,"&lt;&gt;01-REGIMEN GENERAL",COMPRAS!DD:DD,"=SI")+SUMIFS(COMPRAS!BR:BR,COMPRAS!BO:BO,V305,COMPRAS!CS:CS,"&lt;&gt;01-REGIMEN GENERAL",COMPRAS!DD:DD,"=SI")+SUMIFS(COMPRAS!CA:CA,COMPRAS!BX:BX,V305,COMPRAS!CS:CS,"&lt;&gt;01-REGIMEN GENERAL",COMPRAS!DD:DD,"=SI")</f>
        <v>0</v>
      </c>
      <c r="AF305" s="954"/>
      <c r="AG305" s="954"/>
      <c r="AH305" s="954"/>
      <c r="AI305" s="206"/>
    </row>
    <row r="306" spans="1:35" ht="21" hidden="1" customHeight="1" outlineLevel="2" x14ac:dyDescent="0.35">
      <c r="A306" s="988"/>
      <c r="B306" s="989"/>
      <c r="C306" s="997"/>
      <c r="D306" s="15"/>
      <c r="E306" s="15"/>
      <c r="F306" s="15"/>
      <c r="G306" s="15"/>
      <c r="H306" s="15"/>
      <c r="I306" s="15"/>
      <c r="J306" s="15"/>
      <c r="K306" s="15"/>
      <c r="L306" s="15"/>
      <c r="M306" s="15"/>
      <c r="N306" s="15"/>
      <c r="O306" s="15"/>
      <c r="P306" s="15"/>
      <c r="Q306" s="15"/>
      <c r="R306" s="15"/>
      <c r="S306" s="15"/>
      <c r="T306" s="15"/>
      <c r="U306" s="229" t="s">
        <v>212</v>
      </c>
      <c r="V306" s="272">
        <v>518</v>
      </c>
      <c r="W306" s="225"/>
      <c r="X306" s="953">
        <f>SUMIFS(COMPRAS!BG:BG,COMPRAS!BF:BF,V306,COMPRAS!CS:CS,"&lt;&gt;01-REGIMEN GENERAL",COMPRAS!DD:DD,"=SI")+SUMIFS(COMPRAS!BP:BP,COMPRAS!BO:BO,V306,COMPRAS!CS:CS,"&lt;&gt;01-REGIMEN GENERAL",COMPRAS!DD:DD,"=SI")+SUMIFS(COMPRAS!BY:BY,COMPRAS!BX:BX,V306,COMPRAS!CS:CS,"&lt;&gt;01-REGIMEN GENERAL",COMPRAS!DD:DD,"=SI")</f>
        <v>0</v>
      </c>
      <c r="Y306" s="954"/>
      <c r="Z306" s="954"/>
      <c r="AA306" s="954"/>
      <c r="AB306" s="224"/>
      <c r="AC306" s="52"/>
      <c r="AD306" s="227"/>
      <c r="AE306" s="953">
        <f>SUMIFS(COMPRAS!BI:BI,COMPRAS!BF:BF,V306,COMPRAS!CS:CS,"&lt;&gt;01-REGIMEN GENERAL",COMPRAS!DD:DD,"=SI")+SUMIFS(COMPRAS!BR:BR,COMPRAS!BO:BO,V306,COMPRAS!CS:CS,"&lt;&gt;01-REGIMEN GENERAL",COMPRAS!DD:DD,"=SI")+SUMIFS(COMPRAS!CA:CA,COMPRAS!BX:BX,V306,COMPRAS!CS:CS,"&lt;&gt;01-REGIMEN GENERAL",COMPRAS!DD:DD,"=SI")</f>
        <v>0</v>
      </c>
      <c r="AF306" s="954"/>
      <c r="AG306" s="954"/>
      <c r="AH306" s="954"/>
      <c r="AI306" s="206"/>
    </row>
    <row r="307" spans="1:35" ht="21" hidden="1" customHeight="1" outlineLevel="2" x14ac:dyDescent="0.35">
      <c r="A307" s="988"/>
      <c r="B307" s="989"/>
      <c r="C307" s="997"/>
      <c r="D307" s="15"/>
      <c r="E307" s="15"/>
      <c r="F307" s="15"/>
      <c r="G307" s="15"/>
      <c r="H307" s="15"/>
      <c r="I307" s="15"/>
      <c r="J307" s="15"/>
      <c r="K307" s="15"/>
      <c r="L307" s="15"/>
      <c r="M307" s="15"/>
      <c r="N307" s="15"/>
      <c r="O307" s="15"/>
      <c r="P307" s="15"/>
      <c r="Q307" s="15"/>
      <c r="R307" s="15"/>
      <c r="S307" s="15"/>
      <c r="T307" s="15"/>
      <c r="U307" s="229" t="s">
        <v>213</v>
      </c>
      <c r="V307" s="272">
        <v>519</v>
      </c>
      <c r="W307" s="225"/>
      <c r="X307" s="953">
        <f>SUMIFS(COMPRAS!BG:BG,COMPRAS!BF:BF,V307,COMPRAS!CS:CS,"&lt;&gt;01-REGIMEN GENERAL",COMPRAS!DD:DD,"=SI")+SUMIFS(COMPRAS!BP:BP,COMPRAS!BO:BO,V307,COMPRAS!CS:CS,"&lt;&gt;01-REGIMEN GENERAL",COMPRAS!DD:DD,"=SI")+SUMIFS(COMPRAS!BY:BY,COMPRAS!BX:BX,V307,COMPRAS!CS:CS,"&lt;&gt;01-REGIMEN GENERAL",COMPRAS!DD:DD,"=SI")</f>
        <v>0</v>
      </c>
      <c r="Y307" s="954"/>
      <c r="Z307" s="954"/>
      <c r="AA307" s="954"/>
      <c r="AB307" s="224"/>
      <c r="AC307" s="52"/>
      <c r="AD307" s="227"/>
      <c r="AE307" s="953">
        <f>SUMIFS(COMPRAS!BI:BI,COMPRAS!BF:BF,V307,COMPRAS!CS:CS,"&lt;&gt;01-REGIMEN GENERAL",COMPRAS!DD:DD,"=SI")+SUMIFS(COMPRAS!BR:BR,COMPRAS!BO:BO,V307,COMPRAS!CS:CS,"&lt;&gt;01-REGIMEN GENERAL",COMPRAS!DD:DD,"=SI")+SUMIFS(COMPRAS!CA:CA,COMPRAS!BX:BX,V307,COMPRAS!CS:CS,"&lt;&gt;01-REGIMEN GENERAL",COMPRAS!DD:DD,"=SI")</f>
        <v>0</v>
      </c>
      <c r="AF307" s="954"/>
      <c r="AG307" s="954"/>
      <c r="AH307" s="954"/>
      <c r="AI307" s="206"/>
    </row>
    <row r="308" spans="1:35" ht="21" hidden="1" customHeight="1" outlineLevel="2" x14ac:dyDescent="0.35">
      <c r="A308" s="988"/>
      <c r="B308" s="989"/>
      <c r="C308" s="997"/>
      <c r="D308" s="15"/>
      <c r="E308" s="15"/>
      <c r="F308" s="15"/>
      <c r="G308" s="15"/>
      <c r="H308" s="15"/>
      <c r="I308" s="15"/>
      <c r="J308" s="15"/>
      <c r="K308" s="15"/>
      <c r="L308" s="15"/>
      <c r="M308" s="15"/>
      <c r="N308" s="15"/>
      <c r="O308" s="15"/>
      <c r="P308" s="15"/>
      <c r="Q308" s="15"/>
      <c r="R308" s="15"/>
      <c r="S308" s="15"/>
      <c r="T308" s="15"/>
      <c r="U308" s="229" t="s">
        <v>1070</v>
      </c>
      <c r="V308" s="272">
        <v>525</v>
      </c>
      <c r="W308" s="225"/>
      <c r="X308" s="953">
        <f>SUMIFS(COMPRAS!BG:BG,COMPRAS!BF:BF,V308,COMPRAS!CS:CS,"&lt;&gt;01-REGIMEN GENERAL",COMPRAS!DD:DD,"=SI")+SUMIFS(COMPRAS!BP:BP,COMPRAS!BO:BO,V308,COMPRAS!CS:CS,"&lt;&gt;01-REGIMEN GENERAL",COMPRAS!DD:DD,"=SI")+SUMIFS(COMPRAS!BY:BY,COMPRAS!BX:BX,V308,COMPRAS!CS:CS,"&lt;&gt;01-REGIMEN GENERAL",COMPRAS!DD:DD,"=SI")</f>
        <v>0</v>
      </c>
      <c r="Y308" s="954"/>
      <c r="Z308" s="954"/>
      <c r="AA308" s="954"/>
      <c r="AB308" s="224"/>
      <c r="AC308" s="52"/>
      <c r="AD308" s="227"/>
      <c r="AE308" s="953">
        <f>SUMIFS(COMPRAS!BI:BI,COMPRAS!BF:BF,V308,COMPRAS!CS:CS,"&lt;&gt;01-REGIMEN GENERAL",COMPRAS!DD:DD,"=SI")+SUMIFS(COMPRAS!BR:BR,COMPRAS!BO:BO,V308,COMPRAS!CS:CS,"&lt;&gt;01-REGIMEN GENERAL",COMPRAS!DD:DD,"=SI")+SUMIFS(COMPRAS!CA:CA,COMPRAS!BX:BX,V308,COMPRAS!CS:CS,"&lt;&gt;01-REGIMEN GENERAL",COMPRAS!DD:DD,"=SI")</f>
        <v>0</v>
      </c>
      <c r="AF308" s="954"/>
      <c r="AG308" s="954"/>
      <c r="AH308" s="954"/>
      <c r="AI308" s="206"/>
    </row>
    <row r="309" spans="1:35" ht="21" hidden="1" customHeight="1" outlineLevel="2" x14ac:dyDescent="0.35">
      <c r="A309" s="988"/>
      <c r="B309" s="989"/>
      <c r="C309" s="997"/>
      <c r="D309" s="15"/>
      <c r="E309" s="15"/>
      <c r="F309" s="15"/>
      <c r="G309" s="15"/>
      <c r="H309" s="15"/>
      <c r="I309" s="15"/>
      <c r="J309" s="15"/>
      <c r="K309" s="15"/>
      <c r="L309" s="15"/>
      <c r="M309" s="15"/>
      <c r="N309" s="15"/>
      <c r="O309" s="15"/>
      <c r="P309" s="15"/>
      <c r="Q309" s="15"/>
      <c r="R309" s="15"/>
      <c r="S309" s="15"/>
      <c r="T309" s="15"/>
      <c r="U309" s="229" t="s">
        <v>196</v>
      </c>
      <c r="V309" s="272" t="s">
        <v>195</v>
      </c>
      <c r="W309" s="225"/>
      <c r="X309" s="953">
        <f>SUMIFS(COMPRAS!BG:BG,COMPRAS!BF:BF,V309,COMPRAS!CS:CS,"&lt;&gt;01-REGIMEN GENERAL",COMPRAS!DD:DD,"=SI")+SUMIFS(COMPRAS!BP:BP,COMPRAS!BO:BO,V309,COMPRAS!CS:CS,"&lt;&gt;01-REGIMEN GENERAL",COMPRAS!DD:DD,"=SI")+SUMIFS(COMPRAS!BY:BY,COMPRAS!BX:BX,V309,COMPRAS!CS:CS,"&lt;&gt;01-REGIMEN GENERAL",COMPRAS!DD:DD,"=SI")</f>
        <v>0</v>
      </c>
      <c r="Y309" s="954"/>
      <c r="Z309" s="954"/>
      <c r="AA309" s="954"/>
      <c r="AB309" s="224"/>
      <c r="AC309" s="52"/>
      <c r="AD309" s="227"/>
      <c r="AE309" s="953">
        <f>SUMIFS(COMPRAS!BI:BI,COMPRAS!BF:BF,V309,COMPRAS!CS:CS,"&lt;&gt;01-REGIMEN GENERAL",COMPRAS!DD:DD,"=SI")+SUMIFS(COMPRAS!BR:BR,COMPRAS!BO:BO,V309,COMPRAS!CS:CS,"&lt;&gt;01-REGIMEN GENERAL",COMPRAS!DD:DD,"=SI")+SUMIFS(COMPRAS!CA:CA,COMPRAS!BX:BX,V309,COMPRAS!CS:CS,"&lt;&gt;01-REGIMEN GENERAL",COMPRAS!DD:DD,"=SI")</f>
        <v>0</v>
      </c>
      <c r="AF309" s="954"/>
      <c r="AG309" s="954"/>
      <c r="AH309" s="954"/>
      <c r="AI309" s="206"/>
    </row>
    <row r="310" spans="1:35" ht="21" hidden="1" customHeight="1" outlineLevel="2" x14ac:dyDescent="0.35">
      <c r="A310" s="988"/>
      <c r="B310" s="989"/>
      <c r="C310" s="997"/>
      <c r="D310" s="15"/>
      <c r="E310" s="15"/>
      <c r="F310" s="15"/>
      <c r="G310" s="15"/>
      <c r="H310" s="15"/>
      <c r="I310" s="15"/>
      <c r="J310" s="15"/>
      <c r="K310" s="15"/>
      <c r="L310" s="15"/>
      <c r="M310" s="15"/>
      <c r="N310" s="15"/>
      <c r="O310" s="15"/>
      <c r="P310" s="15"/>
      <c r="Q310" s="15"/>
      <c r="R310" s="15"/>
      <c r="S310" s="15"/>
      <c r="T310" s="15"/>
      <c r="U310" s="229" t="s">
        <v>198</v>
      </c>
      <c r="V310" s="272" t="s">
        <v>197</v>
      </c>
      <c r="W310" s="225"/>
      <c r="X310" s="953">
        <f>SUMIFS(COMPRAS!BG:BG,COMPRAS!BF:BF,V310,COMPRAS!CS:CS,"&lt;&gt;01-REGIMEN GENERAL",COMPRAS!DD:DD,"=SI")+SUMIFS(COMPRAS!BP:BP,COMPRAS!BO:BO,V310,COMPRAS!CS:CS,"&lt;&gt;01-REGIMEN GENERAL",COMPRAS!DD:DD,"=SI")+SUMIFS(COMPRAS!BY:BY,COMPRAS!BX:BX,V310,COMPRAS!CS:CS,"&lt;&gt;01-REGIMEN GENERAL",COMPRAS!DD:DD,"=SI")</f>
        <v>0</v>
      </c>
      <c r="Y310" s="954"/>
      <c r="Z310" s="954"/>
      <c r="AA310" s="954"/>
      <c r="AB310" s="224"/>
      <c r="AC310" s="52"/>
      <c r="AD310" s="227"/>
      <c r="AE310" s="953">
        <f>SUMIFS(COMPRAS!BI:BI,COMPRAS!BF:BF,V310,COMPRAS!CS:CS,"&lt;&gt;01-REGIMEN GENERAL",COMPRAS!DD:DD,"=SI")+SUMIFS(COMPRAS!BR:BR,COMPRAS!BO:BO,V310,COMPRAS!CS:CS,"&lt;&gt;01-REGIMEN GENERAL",COMPRAS!DD:DD,"=SI")+SUMIFS(COMPRAS!CA:CA,COMPRAS!BX:BX,V310,COMPRAS!CS:CS,"&lt;&gt;01-REGIMEN GENERAL",COMPRAS!DD:DD,"=SI")</f>
        <v>0</v>
      </c>
      <c r="AF310" s="954"/>
      <c r="AG310" s="954"/>
      <c r="AH310" s="954"/>
      <c r="AI310" s="206"/>
    </row>
    <row r="311" spans="1:35" ht="21" hidden="1" customHeight="1" outlineLevel="2" x14ac:dyDescent="0.35">
      <c r="A311" s="988"/>
      <c r="B311" s="989"/>
      <c r="C311" s="997"/>
      <c r="D311" s="15"/>
      <c r="E311" s="15"/>
      <c r="F311" s="15"/>
      <c r="G311" s="15"/>
      <c r="H311" s="15"/>
      <c r="I311" s="15"/>
      <c r="J311" s="15"/>
      <c r="K311" s="15"/>
      <c r="L311" s="15"/>
      <c r="M311" s="15"/>
      <c r="N311" s="15"/>
      <c r="O311" s="15"/>
      <c r="P311" s="15"/>
      <c r="Q311" s="15"/>
      <c r="R311" s="15"/>
      <c r="S311" s="15"/>
      <c r="T311" s="15"/>
      <c r="U311" s="229" t="s">
        <v>201</v>
      </c>
      <c r="V311" s="272" t="s">
        <v>200</v>
      </c>
      <c r="W311" s="225"/>
      <c r="X311" s="953">
        <f>SUMIFS(COMPRAS!BG:BG,COMPRAS!BF:BF,V311,COMPRAS!CS:CS,"&lt;&gt;01-REGIMEN GENERAL",COMPRAS!DD:DD,"=SI")+SUMIFS(COMPRAS!BP:BP,COMPRAS!BO:BO,V311,COMPRAS!CS:CS,"&lt;&gt;01-REGIMEN GENERAL",COMPRAS!DD:DD,"=SI")+SUMIFS(COMPRAS!BY:BY,COMPRAS!BX:BX,V311,COMPRAS!CS:CS,"&lt;&gt;01-REGIMEN GENERAL",COMPRAS!DD:DD,"=SI")</f>
        <v>0</v>
      </c>
      <c r="Y311" s="954"/>
      <c r="Z311" s="954"/>
      <c r="AA311" s="954"/>
      <c r="AB311" s="224"/>
      <c r="AC311" s="52"/>
      <c r="AD311" s="227"/>
      <c r="AE311" s="953">
        <f>SUMIFS(COMPRAS!BI:BI,COMPRAS!BF:BF,V311,COMPRAS!CS:CS,"&lt;&gt;01-REGIMEN GENERAL",COMPRAS!DD:DD,"=SI")+SUMIFS(COMPRAS!BR:BR,COMPRAS!BO:BO,V311,COMPRAS!CS:CS,"&lt;&gt;01-REGIMEN GENERAL",COMPRAS!DD:DD,"=SI")+SUMIFS(COMPRAS!CA:CA,COMPRAS!BX:BX,V311,COMPRAS!CS:CS,"&lt;&gt;01-REGIMEN GENERAL",COMPRAS!DD:DD,"=SI")</f>
        <v>0</v>
      </c>
      <c r="AF311" s="954"/>
      <c r="AG311" s="954"/>
      <c r="AH311" s="954"/>
      <c r="AI311" s="206"/>
    </row>
    <row r="312" spans="1:35" ht="21" hidden="1" customHeight="1" outlineLevel="2" x14ac:dyDescent="0.35">
      <c r="A312" s="988"/>
      <c r="B312" s="989"/>
      <c r="C312" s="997"/>
      <c r="D312" s="15"/>
      <c r="E312" s="15"/>
      <c r="F312" s="15"/>
      <c r="G312" s="15"/>
      <c r="H312" s="15"/>
      <c r="I312" s="15"/>
      <c r="J312" s="15"/>
      <c r="K312" s="15"/>
      <c r="L312" s="15"/>
      <c r="M312" s="15"/>
      <c r="N312" s="15"/>
      <c r="O312" s="15"/>
      <c r="P312" s="15"/>
      <c r="Q312" s="15"/>
      <c r="R312" s="15"/>
      <c r="S312" s="15"/>
      <c r="T312" s="15"/>
      <c r="U312" s="229" t="s">
        <v>207</v>
      </c>
      <c r="V312" s="272" t="s">
        <v>206</v>
      </c>
      <c r="W312" s="225"/>
      <c r="X312" s="953">
        <f>SUMIFS(COMPRAS!BG:BG,COMPRAS!BF:BF,V312,COMPRAS!CS:CS,"&lt;&gt;01-REGIMEN GENERAL",COMPRAS!DD:DD,"=SI")+SUMIFS(COMPRAS!BP:BP,COMPRAS!BO:BO,V312,COMPRAS!CS:CS,"&lt;&gt;01-REGIMEN GENERAL",COMPRAS!DD:DD,"=SI")+SUMIFS(COMPRAS!BY:BY,COMPRAS!BX:BX,V312,COMPRAS!CS:CS,"&lt;&gt;01-REGIMEN GENERAL",COMPRAS!DD:DD,"=SI")</f>
        <v>0</v>
      </c>
      <c r="Y312" s="954"/>
      <c r="Z312" s="954"/>
      <c r="AA312" s="954"/>
      <c r="AB312" s="224"/>
      <c r="AC312" s="52"/>
      <c r="AD312" s="227"/>
      <c r="AE312" s="953">
        <f>SUMIFS(COMPRAS!BI:BI,COMPRAS!BF:BF,V312,COMPRAS!CS:CS,"&lt;&gt;01-REGIMEN GENERAL",COMPRAS!DD:DD,"=SI")+SUMIFS(COMPRAS!BR:BR,COMPRAS!BO:BO,V312,COMPRAS!CS:CS,"&lt;&gt;01-REGIMEN GENERAL",COMPRAS!DD:DD,"=SI")+SUMIFS(COMPRAS!CA:CA,COMPRAS!BX:BX,V312,COMPRAS!CS:CS,"&lt;&gt;01-REGIMEN GENERAL",COMPRAS!DD:DD,"=SI")</f>
        <v>0</v>
      </c>
      <c r="AF312" s="954"/>
      <c r="AG312" s="954"/>
      <c r="AH312" s="954"/>
      <c r="AI312" s="206"/>
    </row>
    <row r="313" spans="1:35" ht="21" hidden="1" customHeight="1" outlineLevel="2" x14ac:dyDescent="0.35">
      <c r="A313" s="988"/>
      <c r="B313" s="989"/>
      <c r="C313" s="997"/>
      <c r="D313" s="15"/>
      <c r="E313" s="15"/>
      <c r="F313" s="15"/>
      <c r="G313" s="15"/>
      <c r="H313" s="15"/>
      <c r="I313" s="15"/>
      <c r="J313" s="15"/>
      <c r="K313" s="15"/>
      <c r="L313" s="15"/>
      <c r="M313" s="15"/>
      <c r="N313" s="15"/>
      <c r="O313" s="15"/>
      <c r="P313" s="15"/>
      <c r="Q313" s="15"/>
      <c r="R313" s="15"/>
      <c r="S313" s="15"/>
      <c r="T313" s="15"/>
      <c r="U313" s="229" t="s">
        <v>215</v>
      </c>
      <c r="V313" s="272" t="s">
        <v>214</v>
      </c>
      <c r="W313" s="225"/>
      <c r="X313" s="953">
        <f>SUMIFS(COMPRAS!BG:BG,COMPRAS!BF:BF,V313,COMPRAS!CS:CS,"&lt;&gt;01-REGIMEN GENERAL",COMPRAS!DD:DD,"=SI")+SUMIFS(COMPRAS!BP:BP,COMPRAS!BO:BO,V313,COMPRAS!CS:CS,"&lt;&gt;01-REGIMEN GENERAL",COMPRAS!DD:DD,"=SI")+SUMIFS(COMPRAS!BY:BY,COMPRAS!BX:BX,V313,COMPRAS!CS:CS,"&lt;&gt;01-REGIMEN GENERAL",COMPRAS!DD:DD,"=SI")</f>
        <v>0</v>
      </c>
      <c r="Y313" s="954"/>
      <c r="Z313" s="954"/>
      <c r="AA313" s="954"/>
      <c r="AB313" s="224"/>
      <c r="AC313" s="52"/>
      <c r="AD313" s="227"/>
      <c r="AE313" s="953">
        <f>SUMIFS(COMPRAS!BI:BI,COMPRAS!BF:BF,V313,COMPRAS!CS:CS,"&lt;&gt;01-REGIMEN GENERAL",COMPRAS!DD:DD,"=SI")+SUMIFS(COMPRAS!BR:BR,COMPRAS!BO:BO,V313,COMPRAS!CS:CS,"&lt;&gt;01-REGIMEN GENERAL",COMPRAS!DD:DD,"=SI")+SUMIFS(COMPRAS!CA:CA,COMPRAS!BX:BX,V313,COMPRAS!CS:CS,"&lt;&gt;01-REGIMEN GENERAL",COMPRAS!DD:DD,"=SI")</f>
        <v>0</v>
      </c>
      <c r="AF313" s="954"/>
      <c r="AG313" s="954"/>
      <c r="AH313" s="954"/>
      <c r="AI313" s="206"/>
    </row>
    <row r="314" spans="1:35" ht="21" hidden="1" customHeight="1" outlineLevel="2" x14ac:dyDescent="0.35">
      <c r="A314" s="988"/>
      <c r="B314" s="989"/>
      <c r="C314" s="997"/>
      <c r="D314" s="15"/>
      <c r="E314" s="15"/>
      <c r="F314" s="15"/>
      <c r="G314" s="15"/>
      <c r="H314" s="15"/>
      <c r="I314" s="15"/>
      <c r="J314" s="15"/>
      <c r="K314" s="15"/>
      <c r="L314" s="15"/>
      <c r="M314" s="15"/>
      <c r="N314" s="15"/>
      <c r="O314" s="15"/>
      <c r="P314" s="15"/>
      <c r="Q314" s="15"/>
      <c r="R314" s="15"/>
      <c r="S314" s="15"/>
      <c r="T314" s="15"/>
      <c r="U314" s="229" t="s">
        <v>217</v>
      </c>
      <c r="V314" s="272" t="s">
        <v>216</v>
      </c>
      <c r="W314" s="225"/>
      <c r="X314" s="953">
        <f>SUMIFS(COMPRAS!BG:BG,COMPRAS!BF:BF,V314,COMPRAS!CS:CS,"&lt;&gt;01-REGIMEN GENERAL",COMPRAS!DD:DD,"=SI")+SUMIFS(COMPRAS!BP:BP,COMPRAS!BO:BO,V314,COMPRAS!CS:CS,"&lt;&gt;01-REGIMEN GENERAL",COMPRAS!DD:DD,"=SI")+SUMIFS(COMPRAS!BY:BY,COMPRAS!BX:BX,V314,COMPRAS!CS:CS,"&lt;&gt;01-REGIMEN GENERAL",COMPRAS!DD:DD,"=SI")</f>
        <v>0</v>
      </c>
      <c r="Y314" s="954"/>
      <c r="Z314" s="954"/>
      <c r="AA314" s="954"/>
      <c r="AB314" s="224"/>
      <c r="AC314" s="52"/>
      <c r="AD314" s="227"/>
      <c r="AE314" s="953">
        <f>SUMIFS(COMPRAS!BI:BI,COMPRAS!BF:BF,V314,COMPRAS!CS:CS,"&lt;&gt;01-REGIMEN GENERAL",COMPRAS!DD:DD,"=SI")+SUMIFS(COMPRAS!BR:BR,COMPRAS!BO:BO,V314,COMPRAS!CS:CS,"&lt;&gt;01-REGIMEN GENERAL",COMPRAS!DD:DD,"=SI")+SUMIFS(COMPRAS!CA:CA,COMPRAS!BX:BX,V314,COMPRAS!CS:CS,"&lt;&gt;01-REGIMEN GENERAL",COMPRAS!DD:DD,"=SI")</f>
        <v>0</v>
      </c>
      <c r="AF314" s="954"/>
      <c r="AG314" s="954"/>
      <c r="AH314" s="954"/>
      <c r="AI314" s="206"/>
    </row>
    <row r="315" spans="1:35" ht="21" hidden="1" customHeight="1" outlineLevel="2" x14ac:dyDescent="0.35">
      <c r="A315" s="988"/>
      <c r="B315" s="989"/>
      <c r="C315" s="997"/>
      <c r="D315" s="15"/>
      <c r="E315" s="15"/>
      <c r="F315" s="15"/>
      <c r="G315" s="15"/>
      <c r="H315" s="15"/>
      <c r="I315" s="15"/>
      <c r="J315" s="15"/>
      <c r="K315" s="15"/>
      <c r="L315" s="15"/>
      <c r="M315" s="15"/>
      <c r="N315" s="15"/>
      <c r="O315" s="15"/>
      <c r="P315" s="15"/>
      <c r="Q315" s="15"/>
      <c r="R315" s="15"/>
      <c r="S315" s="15"/>
      <c r="T315" s="15"/>
      <c r="U315" s="229" t="s">
        <v>219</v>
      </c>
      <c r="V315" s="272" t="s">
        <v>218</v>
      </c>
      <c r="W315" s="225"/>
      <c r="X315" s="953">
        <f>SUMIFS(COMPRAS!BG:BG,COMPRAS!BF:BF,V315,COMPRAS!CS:CS,"&lt;&gt;01-REGIMEN GENERAL",COMPRAS!DD:DD,"=SI")+SUMIFS(COMPRAS!BP:BP,COMPRAS!BO:BO,V315,COMPRAS!CS:CS,"&lt;&gt;01-REGIMEN GENERAL",COMPRAS!DD:DD,"=SI")+SUMIFS(COMPRAS!BY:BY,COMPRAS!BX:BX,V315,COMPRAS!CS:CS,"&lt;&gt;01-REGIMEN GENERAL",COMPRAS!DD:DD,"=SI")</f>
        <v>0</v>
      </c>
      <c r="Y315" s="954"/>
      <c r="Z315" s="954"/>
      <c r="AA315" s="954"/>
      <c r="AB315" s="224"/>
      <c r="AC315" s="52"/>
      <c r="AD315" s="227"/>
      <c r="AE315" s="953">
        <f>SUMIFS(COMPRAS!BI:BI,COMPRAS!BF:BF,V315,COMPRAS!CS:CS,"&lt;&gt;01-REGIMEN GENERAL",COMPRAS!DD:DD,"=SI")+SUMIFS(COMPRAS!BR:BR,COMPRAS!BO:BO,V315,COMPRAS!CS:CS,"&lt;&gt;01-REGIMEN GENERAL",COMPRAS!DD:DD,"=SI")+SUMIFS(COMPRAS!CA:CA,COMPRAS!BX:BX,V315,COMPRAS!CS:CS,"&lt;&gt;01-REGIMEN GENERAL",COMPRAS!DD:DD,"=SI")</f>
        <v>0</v>
      </c>
      <c r="AF315" s="954"/>
      <c r="AG315" s="954"/>
      <c r="AH315" s="954"/>
      <c r="AI315" s="206"/>
    </row>
    <row r="316" spans="1:35" ht="21" hidden="1" customHeight="1" outlineLevel="2" x14ac:dyDescent="0.35">
      <c r="A316" s="988"/>
      <c r="B316" s="989"/>
      <c r="C316" s="997"/>
      <c r="D316" s="15"/>
      <c r="E316" s="15"/>
      <c r="F316" s="15"/>
      <c r="G316" s="15"/>
      <c r="H316" s="15"/>
      <c r="I316" s="15"/>
      <c r="J316" s="15"/>
      <c r="K316" s="15"/>
      <c r="L316" s="15"/>
      <c r="M316" s="15"/>
      <c r="N316" s="15"/>
      <c r="O316" s="15"/>
      <c r="P316" s="15"/>
      <c r="Q316" s="15"/>
      <c r="R316" s="15"/>
      <c r="S316" s="15"/>
      <c r="T316" s="15"/>
      <c r="U316" s="229" t="s">
        <v>221</v>
      </c>
      <c r="V316" s="272" t="s">
        <v>220</v>
      </c>
      <c r="W316" s="225"/>
      <c r="X316" s="953">
        <f>SUMIFS(COMPRAS!BG:BG,COMPRAS!BF:BF,V316,COMPRAS!CS:CS,"&lt;&gt;01-REGIMEN GENERAL",COMPRAS!DD:DD,"=SI")+SUMIFS(COMPRAS!BP:BP,COMPRAS!BO:BO,V316,COMPRAS!CS:CS,"&lt;&gt;01-REGIMEN GENERAL",COMPRAS!DD:DD,"=SI")+SUMIFS(COMPRAS!BY:BY,COMPRAS!BX:BX,V316,COMPRAS!CS:CS,"&lt;&gt;01-REGIMEN GENERAL",COMPRAS!DD:DD,"=SI")</f>
        <v>0</v>
      </c>
      <c r="Y316" s="954"/>
      <c r="Z316" s="954"/>
      <c r="AA316" s="954"/>
      <c r="AB316" s="224"/>
      <c r="AC316" s="52"/>
      <c r="AD316" s="227"/>
      <c r="AE316" s="953">
        <f>SUMIFS(COMPRAS!BI:BI,COMPRAS!BF:BF,V316,COMPRAS!CS:CS,"&lt;&gt;01-REGIMEN GENERAL",COMPRAS!DD:DD,"=SI")+SUMIFS(COMPRAS!BR:BR,COMPRAS!BO:BO,V316,COMPRAS!CS:CS,"&lt;&gt;01-REGIMEN GENERAL",COMPRAS!DD:DD,"=SI")+SUMIFS(COMPRAS!CA:CA,COMPRAS!BX:BX,V316,COMPRAS!CS:CS,"&lt;&gt;01-REGIMEN GENERAL",COMPRAS!DD:DD,"=SI")</f>
        <v>0</v>
      </c>
      <c r="AF316" s="954"/>
      <c r="AG316" s="954"/>
      <c r="AH316" s="954"/>
      <c r="AI316" s="206"/>
    </row>
    <row r="317" spans="1:35" ht="21" hidden="1" customHeight="1" outlineLevel="2" x14ac:dyDescent="0.35">
      <c r="A317" s="988"/>
      <c r="B317" s="989"/>
      <c r="C317" s="997"/>
      <c r="D317" s="15"/>
      <c r="E317" s="15"/>
      <c r="F317" s="15"/>
      <c r="G317" s="15"/>
      <c r="H317" s="15"/>
      <c r="I317" s="15"/>
      <c r="J317" s="15"/>
      <c r="K317" s="15"/>
      <c r="L317" s="15"/>
      <c r="M317" s="15"/>
      <c r="N317" s="15"/>
      <c r="O317" s="15"/>
      <c r="P317" s="15"/>
      <c r="Q317" s="15"/>
      <c r="R317" s="15"/>
      <c r="S317" s="15"/>
      <c r="T317" s="15"/>
      <c r="U317" s="229" t="s">
        <v>223</v>
      </c>
      <c r="V317" s="272" t="s">
        <v>222</v>
      </c>
      <c r="W317" s="225"/>
      <c r="X317" s="953">
        <f>SUMIFS(COMPRAS!BG:BG,COMPRAS!BF:BF,V317,COMPRAS!CS:CS,"&lt;&gt;01-REGIMEN GENERAL",COMPRAS!DD:DD,"=SI")+SUMIFS(COMPRAS!BP:BP,COMPRAS!BO:BO,V317,COMPRAS!CS:CS,"&lt;&gt;01-REGIMEN GENERAL",COMPRAS!DD:DD,"=SI")+SUMIFS(COMPRAS!BY:BY,COMPRAS!BX:BX,V317,COMPRAS!CS:CS,"&lt;&gt;01-REGIMEN GENERAL",COMPRAS!DD:DD,"=SI")</f>
        <v>0</v>
      </c>
      <c r="Y317" s="954"/>
      <c r="Z317" s="954"/>
      <c r="AA317" s="954"/>
      <c r="AB317" s="224"/>
      <c r="AC317" s="52"/>
      <c r="AD317" s="227"/>
      <c r="AE317" s="953">
        <f>SUMIFS(COMPRAS!BI:BI,COMPRAS!BF:BF,V317,COMPRAS!CS:CS,"&lt;&gt;01-REGIMEN GENERAL",COMPRAS!DD:DD,"=SI")+SUMIFS(COMPRAS!BR:BR,COMPRAS!BO:BO,V317,COMPRAS!CS:CS,"&lt;&gt;01-REGIMEN GENERAL",COMPRAS!DD:DD,"=SI")+SUMIFS(COMPRAS!CA:CA,COMPRAS!BX:BX,V317,COMPRAS!CS:CS,"&lt;&gt;01-REGIMEN GENERAL",COMPRAS!DD:DD,"=SI")</f>
        <v>0</v>
      </c>
      <c r="AF317" s="954"/>
      <c r="AG317" s="954"/>
      <c r="AH317" s="954"/>
      <c r="AI317" s="206"/>
    </row>
    <row r="318" spans="1:35" ht="21" hidden="1" customHeight="1" outlineLevel="2" x14ac:dyDescent="0.35">
      <c r="A318" s="988"/>
      <c r="B318" s="989"/>
      <c r="C318" s="997"/>
      <c r="D318" s="15"/>
      <c r="E318" s="15"/>
      <c r="F318" s="15"/>
      <c r="G318" s="15"/>
      <c r="H318" s="15"/>
      <c r="I318" s="15"/>
      <c r="J318" s="15"/>
      <c r="K318" s="15"/>
      <c r="L318" s="15"/>
      <c r="M318" s="15"/>
      <c r="N318" s="15"/>
      <c r="O318" s="15"/>
      <c r="P318" s="15"/>
      <c r="Q318" s="15"/>
      <c r="R318" s="15"/>
      <c r="S318" s="15"/>
      <c r="T318" s="15"/>
      <c r="U318" s="229" t="s">
        <v>225</v>
      </c>
      <c r="V318" s="272" t="s">
        <v>224</v>
      </c>
      <c r="W318" s="225"/>
      <c r="X318" s="953">
        <f>SUMIFS(COMPRAS!BG:BG,COMPRAS!BF:BF,V318,COMPRAS!CS:CS,"&lt;&gt;01-REGIMEN GENERAL",COMPRAS!DD:DD,"=SI")+SUMIFS(COMPRAS!BP:BP,COMPRAS!BO:BO,V318,COMPRAS!CS:CS,"&lt;&gt;01-REGIMEN GENERAL",COMPRAS!DD:DD,"=SI")+SUMIFS(COMPRAS!BY:BY,COMPRAS!BX:BX,V318,COMPRAS!CS:CS,"&lt;&gt;01-REGIMEN GENERAL",COMPRAS!DD:DD,"=SI")</f>
        <v>0</v>
      </c>
      <c r="Y318" s="954"/>
      <c r="Z318" s="954"/>
      <c r="AA318" s="954"/>
      <c r="AB318" s="224"/>
      <c r="AC318" s="52"/>
      <c r="AD318" s="227"/>
      <c r="AE318" s="953">
        <f>SUMIFS(COMPRAS!BI:BI,COMPRAS!BF:BF,V318,COMPRAS!CS:CS,"&lt;&gt;01-REGIMEN GENERAL",COMPRAS!DD:DD,"=SI")+SUMIFS(COMPRAS!BR:BR,COMPRAS!BO:BO,V318,COMPRAS!CS:CS,"&lt;&gt;01-REGIMEN GENERAL",COMPRAS!DD:DD,"=SI")+SUMIFS(COMPRAS!CA:CA,COMPRAS!BX:BX,V318,COMPRAS!CS:CS,"&lt;&gt;01-REGIMEN GENERAL",COMPRAS!DD:DD,"=SI")</f>
        <v>0</v>
      </c>
      <c r="AF318" s="954"/>
      <c r="AG318" s="954"/>
      <c r="AH318" s="954"/>
      <c r="AI318" s="206"/>
    </row>
    <row r="319" spans="1:35" ht="21" customHeight="1" outlineLevel="1" collapsed="1" x14ac:dyDescent="0.35">
      <c r="A319" s="988"/>
      <c r="B319" s="989"/>
      <c r="C319" s="997"/>
      <c r="D319" s="15" t="s">
        <v>937</v>
      </c>
      <c r="E319" s="15"/>
      <c r="F319" s="15"/>
      <c r="G319" s="15"/>
      <c r="H319" s="15"/>
      <c r="I319" s="15"/>
      <c r="J319" s="15"/>
      <c r="K319" s="15"/>
      <c r="L319" s="15"/>
      <c r="M319" s="15"/>
      <c r="N319" s="15"/>
      <c r="O319" s="15"/>
      <c r="P319" s="15"/>
      <c r="Q319" s="15"/>
      <c r="R319" s="15"/>
      <c r="S319" s="15"/>
      <c r="T319" s="15"/>
      <c r="U319" s="130"/>
      <c r="V319" s="226">
        <v>433</v>
      </c>
      <c r="W319" s="225" t="s">
        <v>770</v>
      </c>
      <c r="X319" s="953">
        <f>SUM(X320:AA320)</f>
        <v>0</v>
      </c>
      <c r="Y319" s="954"/>
      <c r="Z319" s="954"/>
      <c r="AA319" s="954"/>
      <c r="AB319" s="224"/>
      <c r="AC319" s="982"/>
      <c r="AD319" s="983"/>
      <c r="AE319" s="983"/>
      <c r="AF319" s="983"/>
      <c r="AG319" s="983"/>
      <c r="AH319" s="983"/>
      <c r="AI319" s="984"/>
    </row>
    <row r="320" spans="1:35" ht="21" hidden="1" customHeight="1" outlineLevel="2" thickBot="1" x14ac:dyDescent="0.4">
      <c r="A320" s="991"/>
      <c r="B320" s="992"/>
      <c r="C320" s="998"/>
      <c r="D320" s="5"/>
      <c r="E320" s="5"/>
      <c r="F320" s="5"/>
      <c r="G320" s="5"/>
      <c r="H320" s="5"/>
      <c r="I320" s="5"/>
      <c r="J320" s="5"/>
      <c r="K320" s="5"/>
      <c r="L320" s="5"/>
      <c r="M320" s="5"/>
      <c r="N320" s="5"/>
      <c r="O320" s="5"/>
      <c r="P320" s="5"/>
      <c r="Q320" s="5"/>
      <c r="R320" s="5"/>
      <c r="S320" s="5"/>
      <c r="T320" s="5"/>
      <c r="U320" s="223" t="s">
        <v>229</v>
      </c>
      <c r="V320" s="222">
        <v>524</v>
      </c>
      <c r="W320" s="221"/>
      <c r="X320" s="1001">
        <f>SUMIFS(COMPRAS!BG:BG,COMPRAS!BF:BF,V320,COMPRAS!CS:CS,"&lt;&gt;01-REGIMEN GENERAL",COMPRAS!DD:DD,"=SI")+SUMIFS(COMPRAS!BP:BP,COMPRAS!BO:BO,V320,COMPRAS!CS:CS,"&lt;&gt;01-REGIMEN GENERAL",COMPRAS!DD:DD,"=SI")+SUMIFS(COMPRAS!BY:BY,COMPRAS!BX:BX,V320,COMPRAS!CS:CS,"&lt;&gt;01-REGIMEN GENERAL",COMPRAS!DD:DD,"=SI")</f>
        <v>0</v>
      </c>
      <c r="Y320" s="1002"/>
      <c r="Z320" s="1002"/>
      <c r="AA320" s="1002"/>
      <c r="AB320" s="220"/>
      <c r="AC320" s="976"/>
      <c r="AD320" s="977"/>
      <c r="AE320" s="977"/>
      <c r="AF320" s="977"/>
      <c r="AG320" s="977"/>
      <c r="AH320" s="977"/>
      <c r="AI320" s="978"/>
    </row>
    <row r="321" spans="1:35" ht="21" customHeight="1" outlineLevel="1" collapsed="1" thickBot="1" x14ac:dyDescent="0.4">
      <c r="A321" s="41"/>
      <c r="B321" s="15"/>
      <c r="C321" s="15"/>
      <c r="D321" s="15"/>
      <c r="E321" s="15"/>
      <c r="F321" s="15"/>
      <c r="G321" s="15"/>
      <c r="H321" s="15"/>
      <c r="I321" s="15"/>
      <c r="J321" s="15"/>
      <c r="K321" s="15"/>
      <c r="L321" s="15"/>
      <c r="M321" s="15"/>
      <c r="N321" s="15"/>
      <c r="O321" s="15"/>
      <c r="P321" s="15"/>
      <c r="Q321" s="15"/>
      <c r="R321" s="15"/>
      <c r="S321" s="15"/>
      <c r="T321" s="15"/>
      <c r="U321" s="245"/>
      <c r="V321" s="246"/>
      <c r="W321" s="225"/>
      <c r="X321" s="1001"/>
      <c r="Y321" s="1002"/>
      <c r="Z321" s="1002"/>
      <c r="AA321" s="1002"/>
      <c r="AB321" s="130"/>
      <c r="AC321" s="226"/>
      <c r="AD321" s="74"/>
      <c r="AE321" s="1001"/>
      <c r="AF321" s="1002"/>
      <c r="AG321" s="1002"/>
      <c r="AH321" s="1002"/>
      <c r="AI321" s="14"/>
    </row>
    <row r="322" spans="1:35" ht="21" customHeight="1" thickBot="1" x14ac:dyDescent="0.4">
      <c r="A322" s="218" t="s">
        <v>936</v>
      </c>
      <c r="B322" s="137"/>
      <c r="C322" s="137"/>
      <c r="D322" s="137"/>
      <c r="E322" s="137"/>
      <c r="F322" s="137"/>
      <c r="G322" s="137"/>
      <c r="H322" s="137"/>
      <c r="I322" s="137"/>
      <c r="J322" s="137"/>
      <c r="K322" s="137"/>
      <c r="L322" s="137"/>
      <c r="M322" s="137"/>
      <c r="N322" s="137"/>
      <c r="O322" s="137"/>
      <c r="P322" s="137"/>
      <c r="Q322" s="137"/>
      <c r="R322" s="137"/>
      <c r="S322" s="137"/>
      <c r="T322" s="137"/>
      <c r="U322" s="137"/>
      <c r="V322" s="216">
        <v>497</v>
      </c>
      <c r="W322" s="216" t="s">
        <v>768</v>
      </c>
      <c r="X322" s="999">
        <f>X150+X152+X156+X160+X162+X164+X166+X168+X170+X172+X174+X176+X178+X205+X207+X209+X213+X217+X219+X221+X223+X225+X227+X229+X231+X233+X235+X262+X264+X269+X273+X275+X277+X279+X281+X284+X286+X288+X290+X292+X319</f>
        <v>0</v>
      </c>
      <c r="Y322" s="1000"/>
      <c r="Z322" s="1000"/>
      <c r="AA322" s="1000"/>
      <c r="AB322" s="219"/>
      <c r="AC322" s="216">
        <v>498</v>
      </c>
      <c r="AD322" s="216" t="s">
        <v>768</v>
      </c>
      <c r="AE322" s="999">
        <f>AE150+AE152+AE156+AE160+AE162+AE164+AE166+AE168+AE170+AE172+AE174+AE176+AE178+AE205+AE207+AE209+AE213+AE217+AE219+AE221+AE223+AE225+AE227+AE229+AE231+AE233+AE235+AE262+AE264+AE269+AE273+AE275+AE277+AE279+AE281+AE284+AE286+AE288+AE290+AE292+AE319</f>
        <v>0</v>
      </c>
      <c r="AF322" s="1000"/>
      <c r="AG322" s="1000"/>
      <c r="AH322" s="1000"/>
      <c r="AI322" s="208"/>
    </row>
    <row r="323" spans="1:35" ht="11.15" customHeight="1" thickBot="1" x14ac:dyDescent="0.4">
      <c r="A323" s="64"/>
      <c r="B323" s="33"/>
      <c r="C323" s="33"/>
      <c r="D323" s="33"/>
      <c r="E323" s="33"/>
      <c r="F323" s="33"/>
      <c r="G323" s="33"/>
      <c r="H323" s="33"/>
      <c r="I323" s="33"/>
      <c r="J323" s="33"/>
      <c r="K323" s="33"/>
      <c r="L323" s="33"/>
      <c r="M323" s="33"/>
      <c r="N323" s="33"/>
      <c r="O323" s="33"/>
      <c r="P323" s="33"/>
      <c r="Q323" s="33"/>
      <c r="R323" s="33"/>
      <c r="S323" s="33"/>
      <c r="T323" s="33"/>
      <c r="U323" s="33"/>
      <c r="V323" s="214"/>
      <c r="W323" s="213"/>
      <c r="X323" s="57"/>
      <c r="Y323" s="57"/>
      <c r="Z323" s="57"/>
      <c r="AA323" s="33"/>
      <c r="AB323" s="214"/>
      <c r="AC323" s="214"/>
      <c r="AD323" s="213"/>
      <c r="AE323" s="57"/>
      <c r="AF323" s="57"/>
      <c r="AG323" s="33"/>
      <c r="AH323" s="57"/>
      <c r="AI323" s="56"/>
    </row>
    <row r="324" spans="1:35" ht="21" customHeight="1" thickBot="1" x14ac:dyDescent="0.4">
      <c r="A324" s="218" t="s">
        <v>935</v>
      </c>
      <c r="B324" s="137"/>
      <c r="C324" s="137"/>
      <c r="D324" s="137"/>
      <c r="E324" s="137"/>
      <c r="F324" s="137"/>
      <c r="G324" s="137"/>
      <c r="H324" s="137"/>
      <c r="I324" s="137"/>
      <c r="J324" s="137"/>
      <c r="K324" s="137"/>
      <c r="L324" s="137"/>
      <c r="M324" s="137"/>
      <c r="N324" s="137"/>
      <c r="O324" s="137"/>
      <c r="P324" s="137"/>
      <c r="Q324" s="137"/>
      <c r="R324" s="137"/>
      <c r="S324" s="137"/>
      <c r="T324" s="137"/>
      <c r="U324" s="137"/>
      <c r="V324" s="137"/>
      <c r="W324" s="137"/>
      <c r="X324" s="137"/>
      <c r="Y324" s="137"/>
      <c r="Z324" s="137"/>
      <c r="AA324" s="137"/>
      <c r="AB324" s="217" t="s">
        <v>934</v>
      </c>
      <c r="AC324" s="216">
        <v>499</v>
      </c>
      <c r="AD324" s="216" t="s">
        <v>768</v>
      </c>
      <c r="AE324" s="999">
        <f>AE148+AE322</f>
        <v>0</v>
      </c>
      <c r="AF324" s="1000"/>
      <c r="AG324" s="1000"/>
      <c r="AH324" s="1000"/>
      <c r="AI324" s="208"/>
    </row>
    <row r="325" spans="1:35" ht="9" customHeight="1" thickBot="1" x14ac:dyDescent="0.4">
      <c r="A325" s="64"/>
      <c r="B325" s="33"/>
      <c r="C325" s="33"/>
      <c r="D325" s="33"/>
      <c r="E325" s="33"/>
      <c r="F325" s="33"/>
      <c r="G325" s="33"/>
      <c r="H325" s="33"/>
      <c r="I325" s="33"/>
      <c r="J325" s="33"/>
      <c r="K325" s="33"/>
      <c r="L325" s="33"/>
      <c r="M325" s="33"/>
      <c r="N325" s="33"/>
      <c r="O325" s="33"/>
      <c r="P325" s="33"/>
      <c r="Q325" s="33"/>
      <c r="R325" s="33"/>
      <c r="S325" s="33"/>
      <c r="T325" s="33"/>
      <c r="U325" s="33"/>
      <c r="V325" s="214"/>
      <c r="W325" s="213"/>
      <c r="X325" s="57"/>
      <c r="Y325" s="57"/>
      <c r="Z325" s="57"/>
      <c r="AA325" s="33"/>
      <c r="AB325" s="214"/>
      <c r="AC325" s="214"/>
      <c r="AD325" s="213"/>
      <c r="AE325" s="57"/>
      <c r="AF325" s="57"/>
      <c r="AG325" s="33"/>
      <c r="AH325" s="57"/>
      <c r="AI325" s="56"/>
    </row>
    <row r="326" spans="1:35" ht="24" customHeight="1" thickBot="1" x14ac:dyDescent="0.4">
      <c r="A326" s="60" t="s">
        <v>933</v>
      </c>
      <c r="B326" s="57"/>
      <c r="C326" s="57"/>
      <c r="D326" s="57"/>
      <c r="E326" s="57"/>
      <c r="F326" s="57"/>
      <c r="G326" s="57"/>
      <c r="H326" s="57"/>
      <c r="I326" s="57"/>
      <c r="J326" s="57"/>
      <c r="K326" s="57"/>
      <c r="L326" s="57"/>
      <c r="M326" s="57"/>
      <c r="N326" s="57"/>
      <c r="O326" s="57"/>
      <c r="P326" s="57"/>
      <c r="Q326" s="57"/>
      <c r="R326" s="57"/>
      <c r="S326" s="57"/>
      <c r="T326" s="57"/>
      <c r="U326" s="57"/>
      <c r="V326" s="57"/>
      <c r="W326" s="57"/>
      <c r="X326" s="57"/>
      <c r="Y326" s="57"/>
      <c r="Z326" s="57"/>
      <c r="AA326" s="57"/>
      <c r="AB326" s="57"/>
      <c r="AC326" s="46">
        <v>890</v>
      </c>
      <c r="AD326" s="212" t="s">
        <v>753</v>
      </c>
      <c r="AE326" s="994">
        <f>I328+U328+AE328</f>
        <v>0</v>
      </c>
      <c r="AF326" s="995"/>
      <c r="AG326" s="995"/>
      <c r="AH326" s="995"/>
      <c r="AI326" s="56"/>
    </row>
    <row r="327" spans="1:35" ht="21" customHeight="1" thickBot="1" x14ac:dyDescent="0.4">
      <c r="A327" s="1025" t="s">
        <v>781</v>
      </c>
      <c r="B327" s="1026"/>
      <c r="C327" s="1026"/>
      <c r="D327" s="1026"/>
      <c r="E327" s="1026"/>
      <c r="F327" s="1026"/>
      <c r="G327" s="1026"/>
      <c r="H327" s="1026"/>
      <c r="I327" s="1026"/>
      <c r="J327" s="1026"/>
      <c r="K327" s="1026"/>
      <c r="L327" s="1026"/>
      <c r="M327" s="1026"/>
      <c r="N327" s="1026"/>
      <c r="O327" s="1026"/>
      <c r="P327" s="1026"/>
      <c r="Q327" s="1026"/>
      <c r="R327" s="1026"/>
      <c r="S327" s="1026"/>
      <c r="T327" s="1026"/>
      <c r="U327" s="1026"/>
      <c r="V327" s="1026"/>
      <c r="W327" s="1026"/>
      <c r="X327" s="1026"/>
      <c r="Y327" s="1026"/>
      <c r="Z327" s="1026"/>
      <c r="AA327" s="1026"/>
      <c r="AB327" s="1026"/>
      <c r="AC327" s="1026"/>
      <c r="AD327" s="1026"/>
      <c r="AE327" s="1026"/>
      <c r="AF327" s="1026"/>
      <c r="AG327" s="1026"/>
      <c r="AH327" s="1026"/>
      <c r="AI327" s="1027"/>
    </row>
    <row r="328" spans="1:35" ht="21" customHeight="1" thickBot="1" x14ac:dyDescent="0.4">
      <c r="A328" s="1005" t="s">
        <v>780</v>
      </c>
      <c r="B328" s="1006"/>
      <c r="C328" s="1006"/>
      <c r="D328" s="1006"/>
      <c r="E328" s="1006"/>
      <c r="F328" s="1006"/>
      <c r="G328" s="215">
        <v>897</v>
      </c>
      <c r="H328" s="67" t="s">
        <v>753</v>
      </c>
      <c r="I328" s="995">
        <v>0</v>
      </c>
      <c r="J328" s="995"/>
      <c r="K328" s="995"/>
      <c r="L328" s="33"/>
      <c r="M328" s="1015" t="s">
        <v>779</v>
      </c>
      <c r="N328" s="1016"/>
      <c r="O328" s="1016"/>
      <c r="P328" s="1016"/>
      <c r="Q328" s="1016"/>
      <c r="R328" s="1016"/>
      <c r="S328" s="215">
        <v>898</v>
      </c>
      <c r="T328" s="67" t="s">
        <v>753</v>
      </c>
      <c r="U328" s="995">
        <v>0</v>
      </c>
      <c r="V328" s="995"/>
      <c r="W328" s="995"/>
      <c r="X328" s="57"/>
      <c r="Y328" s="1015" t="s">
        <v>778</v>
      </c>
      <c r="Z328" s="1016"/>
      <c r="AA328" s="1016"/>
      <c r="AB328" s="1016"/>
      <c r="AC328" s="215">
        <v>899</v>
      </c>
      <c r="AD328" s="212" t="s">
        <v>753</v>
      </c>
      <c r="AE328" s="994">
        <v>0</v>
      </c>
      <c r="AF328" s="995"/>
      <c r="AG328" s="995"/>
      <c r="AH328" s="995"/>
      <c r="AI328" s="56"/>
    </row>
    <row r="329" spans="1:35" ht="9" customHeight="1" thickBot="1" x14ac:dyDescent="0.4">
      <c r="A329" s="64"/>
      <c r="B329" s="33"/>
      <c r="C329" s="33"/>
      <c r="D329" s="33"/>
      <c r="E329" s="33"/>
      <c r="F329" s="33"/>
      <c r="G329" s="33"/>
      <c r="H329" s="33"/>
      <c r="I329" s="33"/>
      <c r="J329" s="33"/>
      <c r="K329" s="33"/>
      <c r="L329" s="33"/>
      <c r="M329" s="33"/>
      <c r="N329" s="33"/>
      <c r="O329" s="33"/>
      <c r="P329" s="33"/>
      <c r="Q329" s="33"/>
      <c r="R329" s="33"/>
      <c r="S329" s="33"/>
      <c r="T329" s="33"/>
      <c r="U329" s="33"/>
      <c r="V329" s="214"/>
      <c r="W329" s="213"/>
      <c r="X329" s="57"/>
      <c r="Y329" s="57"/>
      <c r="Z329" s="57"/>
      <c r="AA329" s="33"/>
      <c r="AB329" s="214"/>
      <c r="AC329" s="214"/>
      <c r="AD329" s="213"/>
      <c r="AE329" s="57"/>
      <c r="AF329" s="57"/>
      <c r="AG329" s="33"/>
      <c r="AH329" s="57"/>
      <c r="AI329" s="56"/>
    </row>
    <row r="330" spans="1:35" ht="24" customHeight="1" thickBot="1" x14ac:dyDescent="0.4">
      <c r="A330" s="60" t="s">
        <v>777</v>
      </c>
      <c r="B330" s="57"/>
      <c r="C330" s="57"/>
      <c r="D330" s="57"/>
      <c r="E330" s="57"/>
      <c r="F330" s="57"/>
      <c r="G330" s="57"/>
      <c r="H330" s="57"/>
      <c r="I330" s="57"/>
      <c r="J330" s="57"/>
      <c r="K330" s="57"/>
      <c r="L330" s="57"/>
      <c r="M330" s="57"/>
      <c r="N330" s="57"/>
      <c r="O330" s="57"/>
      <c r="P330" s="57"/>
      <c r="Q330" s="57"/>
      <c r="R330" s="57"/>
      <c r="S330" s="57"/>
      <c r="T330" s="57"/>
      <c r="U330" s="57"/>
      <c r="V330" s="57"/>
      <c r="W330" s="57"/>
      <c r="X330" s="57"/>
      <c r="Y330" s="57"/>
      <c r="Z330" s="57"/>
      <c r="AA330" s="57"/>
      <c r="AB330" s="57"/>
      <c r="AC330" s="46">
        <v>880</v>
      </c>
      <c r="AD330" s="212" t="s">
        <v>753</v>
      </c>
      <c r="AE330" s="994">
        <v>0</v>
      </c>
      <c r="AF330" s="995"/>
      <c r="AG330" s="995"/>
      <c r="AH330" s="995"/>
      <c r="AI330" s="56"/>
    </row>
    <row r="331" spans="1:35" ht="9" customHeight="1" thickBot="1" x14ac:dyDescent="0.4">
      <c r="A331" s="23"/>
      <c r="AI331" s="19"/>
    </row>
    <row r="332" spans="1:35" ht="24" customHeight="1" thickBot="1" x14ac:dyDescent="0.4">
      <c r="A332" s="211" t="s">
        <v>775</v>
      </c>
      <c r="B332" s="209"/>
      <c r="C332" s="209"/>
      <c r="D332" s="209"/>
      <c r="E332" s="209"/>
      <c r="F332" s="210"/>
      <c r="G332" s="209"/>
      <c r="H332" s="209"/>
      <c r="I332" s="209"/>
      <c r="J332" s="209"/>
      <c r="K332" s="209"/>
      <c r="L332" s="209"/>
      <c r="M332" s="209"/>
      <c r="N332" s="209"/>
      <c r="O332" s="209"/>
      <c r="P332" s="209"/>
      <c r="Q332" s="209"/>
      <c r="R332" s="209"/>
      <c r="S332" s="209"/>
      <c r="T332" s="209"/>
      <c r="U332" s="209"/>
      <c r="V332" s="209"/>
      <c r="W332" s="209"/>
      <c r="X332" s="209"/>
      <c r="Y332" s="209"/>
      <c r="Z332" s="209"/>
      <c r="AA332" s="209"/>
      <c r="AB332" s="209"/>
      <c r="AC332" s="209"/>
      <c r="AD332" s="209"/>
      <c r="AE332" s="209"/>
      <c r="AF332" s="209"/>
      <c r="AG332" s="209"/>
      <c r="AH332" s="209"/>
      <c r="AI332" s="208"/>
    </row>
    <row r="333" spans="1:35" ht="24" customHeight="1" x14ac:dyDescent="0.35">
      <c r="A333" s="42" t="s">
        <v>774</v>
      </c>
      <c r="B333" s="15"/>
      <c r="C333" s="15"/>
      <c r="D333" s="15"/>
      <c r="E333" s="15"/>
      <c r="F333" s="15"/>
      <c r="G333" s="15"/>
      <c r="H333" s="15"/>
      <c r="I333" s="15"/>
      <c r="J333" s="15"/>
      <c r="K333" s="15"/>
      <c r="L333" s="15"/>
      <c r="M333" s="15"/>
      <c r="N333" s="15"/>
      <c r="O333" s="15"/>
      <c r="P333" s="15"/>
      <c r="Q333" s="15"/>
      <c r="R333" s="15"/>
      <c r="S333" s="15"/>
      <c r="T333" s="15"/>
      <c r="U333" s="15"/>
      <c r="V333" s="15"/>
      <c r="W333" s="15"/>
      <c r="X333" s="15"/>
      <c r="Y333" s="15"/>
      <c r="Z333" s="15"/>
      <c r="AA333" s="15"/>
      <c r="AB333" s="207" t="s">
        <v>932</v>
      </c>
      <c r="AC333" s="54">
        <v>902</v>
      </c>
      <c r="AD333" s="53" t="s">
        <v>770</v>
      </c>
      <c r="AE333" s="1003">
        <f>AE324-U328</f>
        <v>0</v>
      </c>
      <c r="AF333" s="1004"/>
      <c r="AG333" s="1004"/>
      <c r="AH333" s="1004"/>
      <c r="AI333" s="14"/>
    </row>
    <row r="334" spans="1:35" ht="24" customHeight="1" x14ac:dyDescent="0.35">
      <c r="A334" s="42" t="s">
        <v>772</v>
      </c>
      <c r="B334" s="15"/>
      <c r="C334" s="15"/>
      <c r="D334" s="15"/>
      <c r="E334" s="15"/>
      <c r="F334" s="15"/>
      <c r="G334" s="15"/>
      <c r="H334" s="15"/>
      <c r="I334" s="15"/>
      <c r="J334" s="15"/>
      <c r="K334" s="15"/>
      <c r="L334" s="15"/>
      <c r="M334" s="15"/>
      <c r="N334" s="15"/>
      <c r="O334" s="15"/>
      <c r="P334" s="15"/>
      <c r="Q334" s="15"/>
      <c r="R334" s="15"/>
      <c r="S334" s="15"/>
      <c r="T334" s="15"/>
      <c r="U334" s="15"/>
      <c r="V334" s="15"/>
      <c r="W334" s="15"/>
      <c r="X334" s="15"/>
      <c r="Y334" s="15"/>
      <c r="Z334" s="15"/>
      <c r="AA334" s="15"/>
      <c r="AB334" s="15"/>
      <c r="AC334" s="54">
        <v>903</v>
      </c>
      <c r="AD334" s="53" t="s">
        <v>770</v>
      </c>
      <c r="AE334" s="953">
        <v>0</v>
      </c>
      <c r="AF334" s="954"/>
      <c r="AG334" s="954"/>
      <c r="AH334" s="954"/>
      <c r="AI334" s="14"/>
    </row>
    <row r="335" spans="1:35" ht="24" customHeight="1" thickBot="1" x14ac:dyDescent="0.4">
      <c r="A335" s="38" t="s">
        <v>771</v>
      </c>
      <c r="B335" s="37"/>
      <c r="C335" s="37"/>
      <c r="D335" s="37"/>
      <c r="E335" s="37"/>
      <c r="F335" s="37"/>
      <c r="G335" s="37"/>
      <c r="H335" s="37"/>
      <c r="I335" s="37"/>
      <c r="J335" s="37"/>
      <c r="K335" s="37"/>
      <c r="L335" s="37"/>
      <c r="M335" s="37"/>
      <c r="N335" s="37"/>
      <c r="O335" s="37"/>
      <c r="P335" s="37"/>
      <c r="Q335" s="37"/>
      <c r="R335" s="37"/>
      <c r="S335" s="37"/>
      <c r="T335" s="37"/>
      <c r="U335" s="37"/>
      <c r="V335" s="37"/>
      <c r="W335" s="37"/>
      <c r="X335" s="37"/>
      <c r="Y335" s="37"/>
      <c r="Z335" s="37"/>
      <c r="AA335" s="37"/>
      <c r="AB335" s="37"/>
      <c r="AC335" s="52">
        <v>904</v>
      </c>
      <c r="AD335" s="51" t="s">
        <v>770</v>
      </c>
      <c r="AE335" s="1001">
        <v>0</v>
      </c>
      <c r="AF335" s="1002"/>
      <c r="AG335" s="1002"/>
      <c r="AH335" s="1002"/>
      <c r="AI335" s="205"/>
    </row>
    <row r="336" spans="1:35" ht="24" customHeight="1" thickBot="1" x14ac:dyDescent="0.4">
      <c r="A336" s="50" t="s">
        <v>769</v>
      </c>
      <c r="B336" s="49"/>
      <c r="C336" s="49"/>
      <c r="D336" s="49"/>
      <c r="E336" s="49"/>
      <c r="F336" s="49"/>
      <c r="G336" s="49"/>
      <c r="H336" s="49"/>
      <c r="I336" s="49"/>
      <c r="J336" s="49"/>
      <c r="K336" s="49"/>
      <c r="L336" s="49"/>
      <c r="M336" s="49"/>
      <c r="N336" s="49"/>
      <c r="O336" s="49"/>
      <c r="P336" s="49"/>
      <c r="Q336" s="49"/>
      <c r="R336" s="49"/>
      <c r="S336" s="49"/>
      <c r="T336" s="49"/>
      <c r="U336" s="49"/>
      <c r="V336" s="49"/>
      <c r="W336" s="49"/>
      <c r="X336" s="49"/>
      <c r="Y336" s="49"/>
      <c r="Z336" s="49"/>
      <c r="AA336" s="49"/>
      <c r="AB336" s="49"/>
      <c r="AC336" s="47">
        <v>999</v>
      </c>
      <c r="AD336" s="46" t="s">
        <v>768</v>
      </c>
      <c r="AE336" s="1010">
        <f>SUM(AE333:AH335)</f>
        <v>0</v>
      </c>
      <c r="AF336" s="975"/>
      <c r="AG336" s="975"/>
      <c r="AH336" s="975"/>
      <c r="AI336" s="56"/>
    </row>
    <row r="337" spans="1:35" ht="24" customHeight="1" x14ac:dyDescent="0.35">
      <c r="A337" s="45" t="s">
        <v>767</v>
      </c>
      <c r="B337" s="43"/>
      <c r="C337" s="43"/>
      <c r="D337" s="43"/>
      <c r="E337" s="43"/>
      <c r="F337" s="44"/>
      <c r="G337" s="43"/>
      <c r="H337" s="43"/>
      <c r="I337" s="43"/>
      <c r="J337" s="43"/>
      <c r="K337" s="43"/>
      <c r="L337" s="43"/>
      <c r="M337" s="43"/>
      <c r="N337" s="43"/>
      <c r="O337" s="43"/>
      <c r="P337" s="43"/>
      <c r="Q337" s="43"/>
      <c r="R337" s="43"/>
      <c r="S337" s="43"/>
      <c r="T337" s="43"/>
      <c r="U337" s="43"/>
      <c r="V337" s="43"/>
      <c r="W337" s="43"/>
      <c r="X337" s="43"/>
      <c r="Y337" s="43"/>
      <c r="Z337" s="43"/>
      <c r="AA337" s="43"/>
      <c r="AB337" s="43"/>
      <c r="AC337" s="40" t="s">
        <v>766</v>
      </c>
      <c r="AD337" s="39" t="s">
        <v>753</v>
      </c>
      <c r="AE337" s="1004">
        <f>+AE336</f>
        <v>0</v>
      </c>
      <c r="AF337" s="1004"/>
      <c r="AG337" s="1004"/>
      <c r="AH337" s="1004"/>
      <c r="AI337" s="206"/>
    </row>
    <row r="338" spans="1:35" ht="24" customHeight="1" thickBot="1" x14ac:dyDescent="0.4">
      <c r="A338" s="38" t="s">
        <v>763</v>
      </c>
      <c r="B338" s="37"/>
      <c r="C338" s="37"/>
      <c r="D338" s="37"/>
      <c r="E338" s="37"/>
      <c r="F338" s="37"/>
      <c r="G338" s="37"/>
      <c r="H338" s="37"/>
      <c r="I338" s="37"/>
      <c r="J338" s="37"/>
      <c r="K338" s="37"/>
      <c r="L338" s="37"/>
      <c r="M338" s="37"/>
      <c r="N338" s="37"/>
      <c r="O338" s="37"/>
      <c r="P338" s="37"/>
      <c r="Q338" s="37"/>
      <c r="R338" s="37"/>
      <c r="S338" s="37"/>
      <c r="T338" s="37"/>
      <c r="U338" s="37"/>
      <c r="V338" s="37"/>
      <c r="W338" s="37"/>
      <c r="X338" s="37"/>
      <c r="Y338" s="37"/>
      <c r="Z338" s="37"/>
      <c r="AA338" s="37"/>
      <c r="AB338" s="37"/>
      <c r="AC338" s="36" t="s">
        <v>762</v>
      </c>
      <c r="AD338" s="35" t="s">
        <v>753</v>
      </c>
      <c r="AE338" s="1002">
        <v>0</v>
      </c>
      <c r="AF338" s="1002"/>
      <c r="AG338" s="1002"/>
      <c r="AH338" s="1002"/>
      <c r="AI338" s="205"/>
    </row>
    <row r="339" spans="1:35" ht="30" customHeight="1" thickBot="1" x14ac:dyDescent="0.4">
      <c r="A339" s="1020" t="s">
        <v>759</v>
      </c>
      <c r="B339" s="1021"/>
      <c r="C339" s="1021"/>
      <c r="D339" s="1021"/>
      <c r="E339" s="1021"/>
      <c r="F339" s="1021"/>
      <c r="G339" s="1021"/>
      <c r="H339" s="1021"/>
      <c r="I339" s="1021"/>
      <c r="J339" s="1021"/>
      <c r="K339" s="1021"/>
      <c r="L339" s="1021"/>
      <c r="M339" s="1021"/>
      <c r="N339" s="1021"/>
      <c r="O339" s="1021"/>
      <c r="P339" s="1021"/>
      <c r="Q339" s="1021"/>
      <c r="R339" s="1021"/>
      <c r="S339" s="1021"/>
      <c r="T339" s="1021"/>
      <c r="U339" s="1021"/>
      <c r="V339" s="1021"/>
      <c r="W339" s="1021"/>
      <c r="X339" s="1021"/>
      <c r="Y339" s="1021"/>
      <c r="Z339" s="1021"/>
      <c r="AA339" s="1021"/>
      <c r="AB339" s="1022" t="s">
        <v>931</v>
      </c>
      <c r="AC339" s="1023"/>
      <c r="AD339" s="1023"/>
      <c r="AE339" s="1023"/>
      <c r="AF339" s="1023"/>
      <c r="AG339" s="1023"/>
      <c r="AH339" s="1023"/>
      <c r="AI339" s="1024"/>
    </row>
    <row r="340" spans="1:35" ht="24" customHeight="1" x14ac:dyDescent="0.35">
      <c r="A340" s="204">
        <v>908</v>
      </c>
      <c r="B340" s="201" t="s">
        <v>755</v>
      </c>
      <c r="C340" s="203"/>
      <c r="D340" s="1004"/>
      <c r="E340" s="1004"/>
      <c r="F340" s="1004"/>
      <c r="G340" s="1004"/>
      <c r="H340" s="1004"/>
      <c r="I340" s="1004"/>
      <c r="J340" s="202">
        <v>910</v>
      </c>
      <c r="K340" s="201" t="s">
        <v>755</v>
      </c>
      <c r="L340" s="200"/>
      <c r="M340" s="1009"/>
      <c r="N340" s="1009"/>
      <c r="O340" s="1009"/>
      <c r="P340" s="1009"/>
      <c r="Q340" s="1009"/>
      <c r="R340" s="1009"/>
      <c r="S340" s="202">
        <v>912</v>
      </c>
      <c r="T340" s="201" t="s">
        <v>755</v>
      </c>
      <c r="U340" s="200"/>
      <c r="V340" s="1009"/>
      <c r="W340" s="1009"/>
      <c r="X340" s="1009"/>
      <c r="Y340" s="1009"/>
      <c r="Z340" s="1009"/>
      <c r="AA340" s="1009"/>
      <c r="AB340" s="1017"/>
      <c r="AC340" s="1018"/>
      <c r="AD340" s="1018"/>
      <c r="AE340" s="1018"/>
      <c r="AF340" s="1018"/>
      <c r="AG340" s="1018"/>
      <c r="AH340" s="1018"/>
      <c r="AI340" s="1019"/>
    </row>
    <row r="341" spans="1:35" ht="24" customHeight="1" thickBot="1" x14ac:dyDescent="0.4">
      <c r="A341" s="28">
        <v>909</v>
      </c>
      <c r="B341" s="26" t="s">
        <v>753</v>
      </c>
      <c r="C341" s="194"/>
      <c r="D341" s="1002">
        <v>0</v>
      </c>
      <c r="E341" s="1002"/>
      <c r="F341" s="1002"/>
      <c r="G341" s="1002"/>
      <c r="H341" s="1002"/>
      <c r="I341" s="1002"/>
      <c r="J341" s="29">
        <v>911</v>
      </c>
      <c r="K341" s="26" t="s">
        <v>753</v>
      </c>
      <c r="L341" s="194"/>
      <c r="M341" s="1002">
        <v>0</v>
      </c>
      <c r="N341" s="1002"/>
      <c r="O341" s="1002"/>
      <c r="P341" s="1002"/>
      <c r="Q341" s="1002"/>
      <c r="R341" s="1011"/>
      <c r="S341" s="27">
        <v>913</v>
      </c>
      <c r="T341" s="26" t="s">
        <v>753</v>
      </c>
      <c r="U341" s="194"/>
      <c r="V341" s="1002">
        <v>0</v>
      </c>
      <c r="W341" s="1002"/>
      <c r="X341" s="1002"/>
      <c r="Y341" s="1002"/>
      <c r="Z341" s="1002"/>
      <c r="AA341" s="1011"/>
      <c r="AB341" s="27">
        <v>915</v>
      </c>
      <c r="AC341" s="26" t="s">
        <v>753</v>
      </c>
      <c r="AD341" s="1007">
        <v>0</v>
      </c>
      <c r="AE341" s="1007"/>
      <c r="AF341" s="1007"/>
      <c r="AG341" s="1007"/>
      <c r="AH341" s="1007"/>
      <c r="AI341" s="1008"/>
    </row>
    <row r="342" spans="1:35" ht="24" customHeight="1" x14ac:dyDescent="0.35">
      <c r="A342" s="1012" t="s">
        <v>752</v>
      </c>
      <c r="B342" s="1013"/>
      <c r="C342" s="1013"/>
      <c r="D342" s="1013"/>
      <c r="E342" s="1013"/>
      <c r="F342" s="1013"/>
      <c r="G342" s="1013"/>
      <c r="H342" s="1013"/>
      <c r="I342" s="1013"/>
      <c r="J342" s="1013"/>
      <c r="K342" s="1013"/>
      <c r="L342" s="1013"/>
      <c r="M342" s="1013"/>
      <c r="N342" s="1013"/>
      <c r="O342" s="1013"/>
      <c r="P342" s="1013"/>
      <c r="Q342" s="1013"/>
      <c r="R342" s="1013"/>
      <c r="S342" s="1013"/>
      <c r="T342" s="1013"/>
      <c r="U342" s="1013"/>
      <c r="V342" s="1013"/>
      <c r="W342" s="1013"/>
      <c r="X342" s="1013"/>
      <c r="Y342" s="1013"/>
      <c r="Z342" s="1013"/>
      <c r="AA342" s="1013"/>
      <c r="AB342" s="1013"/>
      <c r="AC342" s="1013"/>
      <c r="AD342" s="1013"/>
      <c r="AE342" s="1013"/>
      <c r="AF342" s="1013"/>
      <c r="AG342" s="1013"/>
      <c r="AH342" s="1013"/>
      <c r="AI342" s="1014"/>
    </row>
    <row r="343" spans="1:35" ht="24" customHeight="1" x14ac:dyDescent="0.35">
      <c r="A343" s="199"/>
      <c r="B343" s="198"/>
      <c r="C343" s="198"/>
      <c r="D343" s="198"/>
      <c r="E343" s="198"/>
      <c r="F343" s="198"/>
      <c r="G343" s="198"/>
      <c r="H343" s="198"/>
      <c r="I343" s="198"/>
      <c r="J343" s="198"/>
      <c r="K343" s="198"/>
      <c r="L343" s="198"/>
      <c r="M343" s="198"/>
      <c r="N343" s="198"/>
      <c r="O343" s="198"/>
      <c r="P343" s="198"/>
      <c r="Q343" s="198"/>
      <c r="R343" s="198"/>
      <c r="S343" s="198"/>
      <c r="T343" s="198"/>
      <c r="U343" s="198"/>
      <c r="V343" s="198"/>
      <c r="W343" s="198"/>
      <c r="X343" s="198"/>
      <c r="Y343" s="198"/>
      <c r="Z343" s="198"/>
      <c r="AA343" s="198"/>
      <c r="AB343" s="198"/>
      <c r="AC343" s="198"/>
      <c r="AD343" s="198"/>
      <c r="AE343" s="198"/>
      <c r="AF343" s="198"/>
      <c r="AG343" s="198"/>
      <c r="AH343" s="198"/>
      <c r="AI343" s="197"/>
    </row>
    <row r="344" spans="1:35" ht="24" customHeight="1" x14ac:dyDescent="0.35">
      <c r="A344" s="23"/>
      <c r="C344" s="20"/>
      <c r="D344" s="20"/>
      <c r="E344" s="20"/>
      <c r="F344" s="20"/>
      <c r="U344" s="3"/>
      <c r="AI344" s="19"/>
    </row>
    <row r="345" spans="1:35" ht="24" customHeight="1" x14ac:dyDescent="0.35">
      <c r="A345" s="25"/>
      <c r="B345" s="24"/>
      <c r="C345" s="20"/>
      <c r="D345" s="20"/>
      <c r="E345" s="20"/>
      <c r="F345" s="20"/>
      <c r="G345" s="24"/>
      <c r="H345" s="24"/>
      <c r="I345" s="24"/>
      <c r="J345" s="24"/>
      <c r="K345" s="24"/>
      <c r="L345" s="24"/>
      <c r="M345" s="24"/>
      <c r="N345" s="24"/>
      <c r="O345" s="24"/>
      <c r="P345" s="24"/>
      <c r="Q345" s="24"/>
      <c r="R345" s="24"/>
      <c r="S345" s="24"/>
      <c r="T345" s="24"/>
      <c r="U345" s="24"/>
      <c r="AI345" s="19"/>
    </row>
    <row r="346" spans="1:35" ht="15" customHeight="1" x14ac:dyDescent="0.35">
      <c r="A346" s="25"/>
      <c r="B346" s="24"/>
      <c r="C346" s="20"/>
      <c r="D346" s="20"/>
      <c r="E346" s="20"/>
      <c r="F346" s="20"/>
      <c r="G346" s="24"/>
      <c r="H346" s="24"/>
      <c r="I346" s="24"/>
      <c r="J346" s="24"/>
      <c r="K346" s="24"/>
      <c r="L346" s="24"/>
      <c r="M346" s="24"/>
      <c r="N346" s="24"/>
      <c r="O346" s="24"/>
      <c r="P346" s="24"/>
      <c r="Q346" s="24"/>
      <c r="R346" s="24"/>
      <c r="S346" s="24"/>
      <c r="T346" s="24"/>
      <c r="U346" s="24"/>
      <c r="AI346" s="19"/>
    </row>
    <row r="347" spans="1:35" ht="24" customHeight="1" thickBot="1" x14ac:dyDescent="0.4">
      <c r="A347" s="23"/>
      <c r="B347" s="20"/>
      <c r="C347" s="20"/>
      <c r="D347" s="20"/>
      <c r="E347" s="20"/>
      <c r="F347" s="20"/>
      <c r="G347" s="21"/>
      <c r="H347" s="22" t="s">
        <v>751</v>
      </c>
      <c r="J347" s="20"/>
      <c r="K347" s="21"/>
      <c r="L347" s="21"/>
      <c r="Q347" s="20" t="s">
        <v>750</v>
      </c>
      <c r="R347" s="20"/>
      <c r="S347" s="20"/>
      <c r="T347" s="20"/>
      <c r="AA347" s="20" t="s">
        <v>749</v>
      </c>
      <c r="AB347" s="20"/>
      <c r="AI347" s="19"/>
    </row>
    <row r="348" spans="1:35" ht="24" customHeight="1" thickBot="1" x14ac:dyDescent="0.4">
      <c r="A348" s="18" t="s">
        <v>748</v>
      </c>
      <c r="B348" s="17"/>
      <c r="C348" s="196" t="s">
        <v>750</v>
      </c>
      <c r="D348" s="73"/>
      <c r="E348" s="73"/>
      <c r="F348" s="73"/>
      <c r="G348" s="954" t="str">
        <f>Parametros!D6</f>
        <v>JAVIER VELIZ NAPA</v>
      </c>
      <c r="H348" s="954"/>
      <c r="I348" s="954"/>
      <c r="J348" s="954"/>
      <c r="K348" s="954"/>
      <c r="L348" s="954"/>
      <c r="M348" s="954"/>
      <c r="N348" s="954"/>
      <c r="O348" s="954"/>
      <c r="P348" s="954"/>
      <c r="Q348" s="73"/>
      <c r="R348" s="73"/>
      <c r="S348" s="73"/>
      <c r="T348" s="73"/>
      <c r="U348" s="18" t="s">
        <v>748</v>
      </c>
      <c r="V348" s="17"/>
      <c r="W348" s="196" t="s">
        <v>750</v>
      </c>
      <c r="X348" s="954" t="str">
        <f>Parametros!D8</f>
        <v>LOURDES GOMEZ SOLIS</v>
      </c>
      <c r="Y348" s="954"/>
      <c r="Z348" s="954"/>
      <c r="AA348" s="954"/>
      <c r="AB348" s="954"/>
      <c r="AC348" s="954"/>
      <c r="AD348" s="954"/>
      <c r="AE348" s="954"/>
      <c r="AF348" s="954"/>
      <c r="AG348" s="73"/>
      <c r="AH348" s="73"/>
      <c r="AI348" s="195"/>
    </row>
    <row r="349" spans="1:35" ht="24" customHeight="1" thickBot="1" x14ac:dyDescent="0.4">
      <c r="A349" s="8">
        <v>198</v>
      </c>
      <c r="B349" s="7" t="s">
        <v>747</v>
      </c>
      <c r="C349" s="13"/>
      <c r="D349" s="13"/>
      <c r="E349" s="11"/>
      <c r="F349" s="12"/>
      <c r="G349" s="11"/>
      <c r="H349" s="5"/>
      <c r="I349" s="1002" t="str">
        <f>Parametros!D7</f>
        <v>1234567890001</v>
      </c>
      <c r="J349" s="1002"/>
      <c r="K349" s="1002"/>
      <c r="L349" s="1002"/>
      <c r="M349" s="1002"/>
      <c r="N349" s="1002"/>
      <c r="O349" s="1002"/>
      <c r="P349" s="194"/>
      <c r="Q349" s="5" t="s">
        <v>750</v>
      </c>
      <c r="R349" s="5"/>
      <c r="S349" s="5"/>
      <c r="T349" s="13"/>
      <c r="U349" s="8">
        <v>199</v>
      </c>
      <c r="V349" s="7" t="s">
        <v>746</v>
      </c>
      <c r="W349" s="5"/>
      <c r="X349" s="1002" t="str">
        <f>Parametros!D9</f>
        <v>1234567890001</v>
      </c>
      <c r="Y349" s="1002"/>
      <c r="Z349" s="1002"/>
      <c r="AA349" s="1002"/>
      <c r="AB349" s="1002"/>
      <c r="AC349" s="1002"/>
      <c r="AD349" s="1002"/>
      <c r="AE349" s="1002"/>
      <c r="AF349" s="1002"/>
      <c r="AG349" s="5"/>
      <c r="AH349" s="5"/>
      <c r="AI349" s="4"/>
    </row>
    <row r="350" spans="1:35" ht="24" customHeight="1" x14ac:dyDescent="0.35">
      <c r="A350" s="24"/>
      <c r="B350" s="24"/>
      <c r="C350" s="20"/>
      <c r="D350" s="20"/>
      <c r="E350" s="20"/>
      <c r="F350" s="20"/>
      <c r="G350" s="24"/>
      <c r="H350" s="24"/>
      <c r="I350" s="24"/>
      <c r="J350" s="24"/>
      <c r="K350" s="24"/>
      <c r="L350" s="24"/>
      <c r="M350" s="24"/>
      <c r="N350" s="24"/>
      <c r="O350" s="24"/>
      <c r="P350" s="24"/>
      <c r="Q350" s="24"/>
      <c r="R350" s="24"/>
      <c r="S350" s="24"/>
      <c r="T350" s="24"/>
      <c r="U350" s="3"/>
    </row>
    <row r="351" spans="1:35" ht="24" customHeight="1" x14ac:dyDescent="0.35">
      <c r="A351" s="24"/>
      <c r="B351" s="24"/>
      <c r="C351" s="20"/>
      <c r="D351" s="20"/>
      <c r="E351" s="20"/>
      <c r="F351" s="20"/>
      <c r="G351" s="24"/>
      <c r="H351" s="24"/>
      <c r="I351" s="24"/>
      <c r="J351" s="24"/>
      <c r="K351" s="24"/>
      <c r="L351" s="24"/>
      <c r="M351" s="24"/>
      <c r="N351" s="24"/>
      <c r="O351" s="24"/>
      <c r="P351" s="24"/>
      <c r="Q351" s="24"/>
      <c r="R351" s="24"/>
      <c r="S351" s="24"/>
      <c r="T351" s="24"/>
      <c r="U351" s="3"/>
    </row>
    <row r="352" spans="1:35" ht="24" customHeight="1" x14ac:dyDescent="0.35">
      <c r="A352" s="24"/>
      <c r="B352" s="24"/>
      <c r="C352" s="20"/>
      <c r="D352" s="20"/>
      <c r="E352" s="20"/>
      <c r="F352" s="20"/>
      <c r="G352" s="24"/>
      <c r="H352" s="24"/>
      <c r="I352" s="24"/>
      <c r="J352" s="24"/>
      <c r="K352" s="24"/>
      <c r="L352" s="24"/>
      <c r="M352" s="24"/>
      <c r="N352" s="24"/>
      <c r="O352" s="24"/>
      <c r="P352" s="24"/>
      <c r="Q352" s="24"/>
      <c r="R352" s="24"/>
      <c r="S352" s="24"/>
      <c r="T352" s="24"/>
      <c r="U352" s="3"/>
    </row>
    <row r="353" spans="1:21" ht="24" customHeight="1" x14ac:dyDescent="0.35">
      <c r="A353" s="24"/>
      <c r="B353" s="24"/>
      <c r="C353" s="20"/>
      <c r="D353" s="20"/>
      <c r="E353" s="20"/>
      <c r="F353" s="20"/>
      <c r="G353" s="24"/>
      <c r="H353" s="24"/>
      <c r="I353" s="24"/>
      <c r="J353" s="24"/>
      <c r="K353" s="24"/>
      <c r="L353" s="24"/>
      <c r="M353" s="24"/>
      <c r="N353" s="24"/>
      <c r="O353" s="24"/>
      <c r="P353" s="24"/>
      <c r="Q353" s="24"/>
      <c r="R353" s="24"/>
      <c r="S353" s="24"/>
      <c r="T353" s="24"/>
      <c r="U353" s="3"/>
    </row>
    <row r="354" spans="1:21" ht="24" customHeight="1" x14ac:dyDescent="0.35">
      <c r="A354" s="24"/>
      <c r="B354" s="24"/>
      <c r="C354" s="20"/>
      <c r="D354" s="20"/>
      <c r="E354" s="20"/>
      <c r="F354" s="20"/>
      <c r="G354" s="24"/>
      <c r="H354" s="24"/>
      <c r="I354" s="24"/>
      <c r="J354" s="24"/>
      <c r="K354" s="24"/>
      <c r="L354" s="24"/>
      <c r="M354" s="24"/>
      <c r="N354" s="24"/>
      <c r="O354" s="24"/>
      <c r="P354" s="24"/>
      <c r="Q354" s="24"/>
      <c r="R354" s="24"/>
      <c r="S354" s="24"/>
      <c r="T354" s="24"/>
      <c r="U354" s="3"/>
    </row>
  </sheetData>
  <mergeCells count="691">
    <mergeCell ref="AC143:AI143"/>
    <mergeCell ref="AC144:AI144"/>
    <mergeCell ref="X321:AA321"/>
    <mergeCell ref="AE321:AH321"/>
    <mergeCell ref="A142:C146"/>
    <mergeCell ref="X142:AA142"/>
    <mergeCell ref="X146:AA146"/>
    <mergeCell ref="AE146:AH146"/>
    <mergeCell ref="X143:AA143"/>
    <mergeCell ref="X144:AA144"/>
    <mergeCell ref="X145:AA145"/>
    <mergeCell ref="AE145:AH145"/>
    <mergeCell ref="AC142:AI142"/>
    <mergeCell ref="X223:AA223"/>
    <mergeCell ref="AE223:AH223"/>
    <mergeCell ref="X224:AA224"/>
    <mergeCell ref="AE224:AH224"/>
    <mergeCell ref="X225:AA225"/>
    <mergeCell ref="AE225:AH225"/>
    <mergeCell ref="AE188:AH188"/>
    <mergeCell ref="X189:AA189"/>
    <mergeCell ref="AE189:AH189"/>
    <mergeCell ref="X182:AA182"/>
    <mergeCell ref="AE182:AH182"/>
    <mergeCell ref="A129:C138"/>
    <mergeCell ref="A121:C127"/>
    <mergeCell ref="A115:C116"/>
    <mergeCell ref="A98:C107"/>
    <mergeCell ref="A71:C72"/>
    <mergeCell ref="A19:C33"/>
    <mergeCell ref="AC97:AI97"/>
    <mergeCell ref="A110:AI110"/>
    <mergeCell ref="A112:AI112"/>
    <mergeCell ref="A114:AI114"/>
    <mergeCell ref="X117:AA117"/>
    <mergeCell ref="AE117:AH117"/>
    <mergeCell ref="X118:AA118"/>
    <mergeCell ref="AE118:AH118"/>
    <mergeCell ref="A73:AI73"/>
    <mergeCell ref="X91:AA91"/>
    <mergeCell ref="AC91:AI91"/>
    <mergeCell ref="X92:AA92"/>
    <mergeCell ref="AC92:AI92"/>
    <mergeCell ref="X93:AA93"/>
    <mergeCell ref="AC93:AI93"/>
    <mergeCell ref="X94:AA94"/>
    <mergeCell ref="AC94:AI94"/>
    <mergeCell ref="O136:P136"/>
    <mergeCell ref="X215:AA215"/>
    <mergeCell ref="AE215:AH215"/>
    <mergeCell ref="X201:AA201"/>
    <mergeCell ref="AE201:AH201"/>
    <mergeCell ref="X202:AA202"/>
    <mergeCell ref="AE202:AH202"/>
    <mergeCell ref="X197:AA197"/>
    <mergeCell ref="AE197:AH197"/>
    <mergeCell ref="X200:AA200"/>
    <mergeCell ref="X204:AA204"/>
    <mergeCell ref="X206:AA206"/>
    <mergeCell ref="X210:AA210"/>
    <mergeCell ref="AE210:AH210"/>
    <mergeCell ref="X211:AA211"/>
    <mergeCell ref="AE211:AH211"/>
    <mergeCell ref="X212:AA212"/>
    <mergeCell ref="X203:AA203"/>
    <mergeCell ref="AE203:AH203"/>
    <mergeCell ref="AE199:AH199"/>
    <mergeCell ref="X174:AA174"/>
    <mergeCell ref="X176:AA176"/>
    <mergeCell ref="AE176:AH176"/>
    <mergeCell ref="X183:AA183"/>
    <mergeCell ref="AE183:AH183"/>
    <mergeCell ref="X184:AA184"/>
    <mergeCell ref="AE184:AH184"/>
    <mergeCell ref="X199:AA199"/>
    <mergeCell ref="AE200:AH200"/>
    <mergeCell ref="AE194:AH194"/>
    <mergeCell ref="X185:AA185"/>
    <mergeCell ref="AE185:AH185"/>
    <mergeCell ref="AE186:AH186"/>
    <mergeCell ref="X190:AA190"/>
    <mergeCell ref="AE190:AH190"/>
    <mergeCell ref="AE181:AH181"/>
    <mergeCell ref="AE174:AH174"/>
    <mergeCell ref="X175:AA175"/>
    <mergeCell ref="AE155:AH155"/>
    <mergeCell ref="X158:AA158"/>
    <mergeCell ref="AE158:AH158"/>
    <mergeCell ref="X161:AA161"/>
    <mergeCell ref="AC161:AI161"/>
    <mergeCell ref="AC160:AI160"/>
    <mergeCell ref="AE163:AH163"/>
    <mergeCell ref="AE179:AH179"/>
    <mergeCell ref="X166:AA166"/>
    <mergeCell ref="X167:AA167"/>
    <mergeCell ref="AE166:AH166"/>
    <mergeCell ref="AE167:AH167"/>
    <mergeCell ref="X168:AA168"/>
    <mergeCell ref="AE168:AH168"/>
    <mergeCell ref="X169:AA169"/>
    <mergeCell ref="AE169:AH169"/>
    <mergeCell ref="X177:AA177"/>
    <mergeCell ref="AE177:AH177"/>
    <mergeCell ref="X170:AA170"/>
    <mergeCell ref="AE170:AH170"/>
    <mergeCell ref="X171:AA171"/>
    <mergeCell ref="AE171:AH171"/>
    <mergeCell ref="AE173:AH173"/>
    <mergeCell ref="X173:AA173"/>
    <mergeCell ref="O129:P129"/>
    <mergeCell ref="S129:U129"/>
    <mergeCell ref="O137:P137"/>
    <mergeCell ref="S133:U133"/>
    <mergeCell ref="S134:U134"/>
    <mergeCell ref="X46:AA46"/>
    <mergeCell ref="X159:AA159"/>
    <mergeCell ref="AE159:AH159"/>
    <mergeCell ref="AE127:AH127"/>
    <mergeCell ref="A149:AI149"/>
    <mergeCell ref="A148:U148"/>
    <mergeCell ref="X119:AA119"/>
    <mergeCell ref="AE119:AH119"/>
    <mergeCell ref="X120:AA120"/>
    <mergeCell ref="AE120:AH120"/>
    <mergeCell ref="AE151:AH151"/>
    <mergeCell ref="X152:AA152"/>
    <mergeCell ref="AE152:AH152"/>
    <mergeCell ref="X156:AA156"/>
    <mergeCell ref="AE156:AH156"/>
    <mergeCell ref="X153:AA153"/>
    <mergeCell ref="AE153:AH153"/>
    <mergeCell ref="X155:AA155"/>
    <mergeCell ref="X154:AA154"/>
    <mergeCell ref="AE154:AH154"/>
    <mergeCell ref="X151:AA151"/>
    <mergeCell ref="AE51:AH51"/>
    <mergeCell ref="X124:AA124"/>
    <mergeCell ref="X125:AA125"/>
    <mergeCell ref="X127:AA127"/>
    <mergeCell ref="AE124:AH124"/>
    <mergeCell ref="AE125:AH125"/>
    <mergeCell ref="AE126:AH126"/>
    <mergeCell ref="X121:AA121"/>
    <mergeCell ref="AE121:AH121"/>
    <mergeCell ref="X147:AA147"/>
    <mergeCell ref="AE147:AH147"/>
    <mergeCell ref="X113:AA113"/>
    <mergeCell ref="AE113:AH113"/>
    <mergeCell ref="X69:AA69"/>
    <mergeCell ref="AE69:AH69"/>
    <mergeCell ref="X95:AA95"/>
    <mergeCell ref="AC95:AI95"/>
    <mergeCell ref="X96:AA96"/>
    <mergeCell ref="AC96:AI96"/>
    <mergeCell ref="X97:AA97"/>
    <mergeCell ref="A128:AI128"/>
    <mergeCell ref="O133:P133"/>
    <mergeCell ref="O134:P134"/>
    <mergeCell ref="O131:P131"/>
    <mergeCell ref="S131:U131"/>
    <mergeCell ref="X131:AA131"/>
    <mergeCell ref="AE131:AH131"/>
    <mergeCell ref="X132:AA132"/>
    <mergeCell ref="AE132:AH132"/>
    <mergeCell ref="O135:P135"/>
    <mergeCell ref="S135:U135"/>
    <mergeCell ref="AE115:AH115"/>
    <mergeCell ref="X135:AA135"/>
    <mergeCell ref="AE135:AH135"/>
    <mergeCell ref="AE133:AH133"/>
    <mergeCell ref="AE134:AH134"/>
    <mergeCell ref="X133:AA133"/>
    <mergeCell ref="X111:AA111"/>
    <mergeCell ref="AE111:AH111"/>
    <mergeCell ref="X134:AA134"/>
    <mergeCell ref="AE116:AH116"/>
    <mergeCell ref="AE123:AH123"/>
    <mergeCell ref="X129:AA129"/>
    <mergeCell ref="AE129:AH129"/>
    <mergeCell ref="X115:AA115"/>
    <mergeCell ref="X126:AA126"/>
    <mergeCell ref="X141:AA141"/>
    <mergeCell ref="AE37:AH37"/>
    <mergeCell ref="X44:AA44"/>
    <mergeCell ref="X67:AA67"/>
    <mergeCell ref="X64:AA64"/>
    <mergeCell ref="X39:AA39"/>
    <mergeCell ref="AE39:AH39"/>
    <mergeCell ref="X130:AA130"/>
    <mergeCell ref="AE130:AH130"/>
    <mergeCell ref="X75:AA75"/>
    <mergeCell ref="AE75:AH75"/>
    <mergeCell ref="AC107:AI107"/>
    <mergeCell ref="AE78:AH78"/>
    <mergeCell ref="X68:AA68"/>
    <mergeCell ref="AE38:AH38"/>
    <mergeCell ref="X76:AA76"/>
    <mergeCell ref="AE139:AH139"/>
    <mergeCell ref="X140:AA140"/>
    <mergeCell ref="AE140:AH140"/>
    <mergeCell ref="A63:AI63"/>
    <mergeCell ref="X70:AA70"/>
    <mergeCell ref="AE64:AH64"/>
    <mergeCell ref="X100:AA100"/>
    <mergeCell ref="AE85:AH85"/>
    <mergeCell ref="AD1:AE2"/>
    <mergeCell ref="I1:AC2"/>
    <mergeCell ref="AE141:AH141"/>
    <mergeCell ref="AE106:AH106"/>
    <mergeCell ref="X107:AA107"/>
    <mergeCell ref="X105:AA105"/>
    <mergeCell ref="AE105:AH105"/>
    <mergeCell ref="X55:AA55"/>
    <mergeCell ref="X60:AA60"/>
    <mergeCell ref="X58:AA58"/>
    <mergeCell ref="X56:AA56"/>
    <mergeCell ref="X57:AA57"/>
    <mergeCell ref="A14:AI14"/>
    <mergeCell ref="AC16:AI16"/>
    <mergeCell ref="U7:U8"/>
    <mergeCell ref="R7:R8"/>
    <mergeCell ref="V16:AB16"/>
    <mergeCell ref="J7:J8"/>
    <mergeCell ref="A15:AI15"/>
    <mergeCell ref="X50:AA50"/>
    <mergeCell ref="AE50:AH50"/>
    <mergeCell ref="X48:AA48"/>
    <mergeCell ref="X49:AA49"/>
    <mergeCell ref="AE49:AH49"/>
    <mergeCell ref="X20:AA20"/>
    <mergeCell ref="AE20:AH20"/>
    <mergeCell ref="AE22:AH22"/>
    <mergeCell ref="X22:AA22"/>
    <mergeCell ref="E7:E8"/>
    <mergeCell ref="S7:S8"/>
    <mergeCell ref="T7:T8"/>
    <mergeCell ref="Q7:Q8"/>
    <mergeCell ref="P12:AH12"/>
    <mergeCell ref="K7:K8"/>
    <mergeCell ref="I7:I8"/>
    <mergeCell ref="L7:L8"/>
    <mergeCell ref="M7:M8"/>
    <mergeCell ref="N7:N8"/>
    <mergeCell ref="B12:N12"/>
    <mergeCell ref="X29:AA29"/>
    <mergeCell ref="AE24:AH24"/>
    <mergeCell ref="X40:AA40"/>
    <mergeCell ref="AE40:AH40"/>
    <mergeCell ref="A7:A8"/>
    <mergeCell ref="A11:A12"/>
    <mergeCell ref="V7:V8"/>
    <mergeCell ref="B7:B8"/>
    <mergeCell ref="Y8:AG8"/>
    <mergeCell ref="X33:AA33"/>
    <mergeCell ref="AE36:AH36"/>
    <mergeCell ref="X36:AA36"/>
    <mergeCell ref="X19:AA19"/>
    <mergeCell ref="X25:AA25"/>
    <mergeCell ref="X26:AA26"/>
    <mergeCell ref="AE18:AH18"/>
    <mergeCell ref="X32:AA32"/>
    <mergeCell ref="X34:AA34"/>
    <mergeCell ref="G7:G8"/>
    <mergeCell ref="C7:C8"/>
    <mergeCell ref="F7:F8"/>
    <mergeCell ref="H7:H8"/>
    <mergeCell ref="D7:D8"/>
    <mergeCell ref="X18:AA18"/>
    <mergeCell ref="X24:AA24"/>
    <mergeCell ref="AE19:AH19"/>
    <mergeCell ref="AE32:AH32"/>
    <mergeCell ref="AE26:AH26"/>
    <mergeCell ref="AE27:AH27"/>
    <mergeCell ref="AE28:AH28"/>
    <mergeCell ref="I349:O349"/>
    <mergeCell ref="M340:R340"/>
    <mergeCell ref="AB339:AI339"/>
    <mergeCell ref="X349:AF349"/>
    <mergeCell ref="X123:AA123"/>
    <mergeCell ref="A327:AI327"/>
    <mergeCell ref="AE326:AH326"/>
    <mergeCell ref="AC54:AI54"/>
    <mergeCell ref="AC55:AI55"/>
    <mergeCell ref="AC56:AI56"/>
    <mergeCell ref="AC61:AI61"/>
    <mergeCell ref="AE122:AH122"/>
    <mergeCell ref="X54:AA54"/>
    <mergeCell ref="AC62:AI62"/>
    <mergeCell ref="AC262:AI262"/>
    <mergeCell ref="X262:AA262"/>
    <mergeCell ref="X103:AA103"/>
    <mergeCell ref="AE103:AH103"/>
    <mergeCell ref="A328:F328"/>
    <mergeCell ref="AE328:AH328"/>
    <mergeCell ref="G348:P348"/>
    <mergeCell ref="D341:I341"/>
    <mergeCell ref="AE338:AH338"/>
    <mergeCell ref="AD341:AI341"/>
    <mergeCell ref="X348:AF348"/>
    <mergeCell ref="V340:AA340"/>
    <mergeCell ref="AE336:AH336"/>
    <mergeCell ref="AE333:AH333"/>
    <mergeCell ref="AE330:AH330"/>
    <mergeCell ref="AE337:AH337"/>
    <mergeCell ref="D340:I340"/>
    <mergeCell ref="AE334:AH334"/>
    <mergeCell ref="V341:AA341"/>
    <mergeCell ref="A342:AI342"/>
    <mergeCell ref="Y328:AB328"/>
    <mergeCell ref="AB340:AI340"/>
    <mergeCell ref="M341:R341"/>
    <mergeCell ref="AE335:AH335"/>
    <mergeCell ref="A339:AA339"/>
    <mergeCell ref="U328:W328"/>
    <mergeCell ref="I328:K328"/>
    <mergeCell ref="M328:R328"/>
    <mergeCell ref="X104:AA104"/>
    <mergeCell ref="AE104:AH104"/>
    <mergeCell ref="X106:AA106"/>
    <mergeCell ref="AE100:AH100"/>
    <mergeCell ref="AE99:AH99"/>
    <mergeCell ref="X102:AA102"/>
    <mergeCell ref="AE102:AH102"/>
    <mergeCell ref="X85:AA85"/>
    <mergeCell ref="X88:AA88"/>
    <mergeCell ref="X87:AA87"/>
    <mergeCell ref="X101:AA101"/>
    <mergeCell ref="AC101:AI101"/>
    <mergeCell ref="X231:AA231"/>
    <mergeCell ref="X216:AA216"/>
    <mergeCell ref="AE216:AH216"/>
    <mergeCell ref="AE227:AH227"/>
    <mergeCell ref="X228:AA228"/>
    <mergeCell ref="AE228:AH228"/>
    <mergeCell ref="X260:AA260"/>
    <mergeCell ref="AE260:AH260"/>
    <mergeCell ref="AE220:AH220"/>
    <mergeCell ref="X257:AA257"/>
    <mergeCell ref="AE257:AH257"/>
    <mergeCell ref="X219:AA219"/>
    <mergeCell ref="AE219:AH219"/>
    <mergeCell ref="X217:AA217"/>
    <mergeCell ref="X218:AA218"/>
    <mergeCell ref="AE234:AH234"/>
    <mergeCell ref="X235:AA235"/>
    <mergeCell ref="AE235:AH235"/>
    <mergeCell ref="X236:AA236"/>
    <mergeCell ref="AE236:AH236"/>
    <mergeCell ref="AE248:AH248"/>
    <mergeCell ref="AE255:AH255"/>
    <mergeCell ref="X251:AA251"/>
    <mergeCell ref="AE251:AH251"/>
    <mergeCell ref="AE270:AH270"/>
    <mergeCell ref="X278:AA278"/>
    <mergeCell ref="AE278:AH278"/>
    <mergeCell ref="AE264:AH264"/>
    <mergeCell ref="X272:AA272"/>
    <mergeCell ref="X271:AA271"/>
    <mergeCell ref="AE271:AH271"/>
    <mergeCell ref="X265:AA265"/>
    <mergeCell ref="AE265:AH265"/>
    <mergeCell ref="X273:AA273"/>
    <mergeCell ref="AE273:AH273"/>
    <mergeCell ref="A150:C206"/>
    <mergeCell ref="X150:AA150"/>
    <mergeCell ref="AE150:AH150"/>
    <mergeCell ref="X157:AA157"/>
    <mergeCell ref="AE157:AH157"/>
    <mergeCell ref="X160:AA160"/>
    <mergeCell ref="AE164:AH164"/>
    <mergeCell ref="X172:AA172"/>
    <mergeCell ref="X205:AA205"/>
    <mergeCell ref="X165:AA165"/>
    <mergeCell ref="AE165:AH165"/>
    <mergeCell ref="AE175:AH175"/>
    <mergeCell ref="X164:AA164"/>
    <mergeCell ref="AE172:AH172"/>
    <mergeCell ref="X162:AA162"/>
    <mergeCell ref="AE162:AH162"/>
    <mergeCell ref="X178:AA178"/>
    <mergeCell ref="AE178:AH178"/>
    <mergeCell ref="X179:AA179"/>
    <mergeCell ref="X186:AA186"/>
    <mergeCell ref="X181:AA181"/>
    <mergeCell ref="X187:AA187"/>
    <mergeCell ref="AE187:AH187"/>
    <mergeCell ref="X188:AA188"/>
    <mergeCell ref="AE324:AH324"/>
    <mergeCell ref="X322:AA322"/>
    <mergeCell ref="AE322:AH322"/>
    <mergeCell ref="X264:AA264"/>
    <mergeCell ref="X279:AA279"/>
    <mergeCell ref="AE279:AH279"/>
    <mergeCell ref="X280:AA280"/>
    <mergeCell ref="AE280:AH280"/>
    <mergeCell ref="X275:AA275"/>
    <mergeCell ref="AE275:AH275"/>
    <mergeCell ref="X276:AA276"/>
    <mergeCell ref="X277:AA277"/>
    <mergeCell ref="AE277:AH277"/>
    <mergeCell ref="AE276:AH276"/>
    <mergeCell ref="X270:AA270"/>
    <mergeCell ref="X268:AA268"/>
    <mergeCell ref="AE268:AH268"/>
    <mergeCell ref="X320:AA320"/>
    <mergeCell ref="AC319:AI319"/>
    <mergeCell ref="X302:AA302"/>
    <mergeCell ref="AE302:AH302"/>
    <mergeCell ref="X301:AA301"/>
    <mergeCell ref="AE301:AH301"/>
    <mergeCell ref="X290:AA290"/>
    <mergeCell ref="X261:AA261"/>
    <mergeCell ref="X259:AA259"/>
    <mergeCell ref="AE259:AH259"/>
    <mergeCell ref="AE238:AH238"/>
    <mergeCell ref="X239:AA239"/>
    <mergeCell ref="X244:AA244"/>
    <mergeCell ref="AE244:AH244"/>
    <mergeCell ref="AE258:AH258"/>
    <mergeCell ref="X253:AA253"/>
    <mergeCell ref="AE253:AH253"/>
    <mergeCell ref="X254:AA254"/>
    <mergeCell ref="X249:AA249"/>
    <mergeCell ref="AE249:AH249"/>
    <mergeCell ref="X250:AA250"/>
    <mergeCell ref="AE250:AH250"/>
    <mergeCell ref="AE252:AH252"/>
    <mergeCell ref="AE242:AH242"/>
    <mergeCell ref="X247:AA247"/>
    <mergeCell ref="AE247:AH247"/>
    <mergeCell ref="X243:AA243"/>
    <mergeCell ref="X256:AA256"/>
    <mergeCell ref="AE243:AH243"/>
    <mergeCell ref="X255:AA255"/>
    <mergeCell ref="X248:AA248"/>
    <mergeCell ref="X252:AA252"/>
    <mergeCell ref="X245:AA245"/>
    <mergeCell ref="AE245:AH245"/>
    <mergeCell ref="X246:AA246"/>
    <mergeCell ref="AE246:AH246"/>
    <mergeCell ref="X237:AA237"/>
    <mergeCell ref="AE237:AH237"/>
    <mergeCell ref="A264:C320"/>
    <mergeCell ref="X305:AA305"/>
    <mergeCell ref="AE305:AH305"/>
    <mergeCell ref="X306:AA306"/>
    <mergeCell ref="AE306:AH306"/>
    <mergeCell ref="X307:AA307"/>
    <mergeCell ref="AE307:AH307"/>
    <mergeCell ref="X308:AA308"/>
    <mergeCell ref="X311:AA311"/>
    <mergeCell ref="AE311:AH311"/>
    <mergeCell ref="X312:AA312"/>
    <mergeCell ref="AE312:AH312"/>
    <mergeCell ref="X309:AA309"/>
    <mergeCell ref="AE309:AH309"/>
    <mergeCell ref="X310:AA310"/>
    <mergeCell ref="AE310:AH310"/>
    <mergeCell ref="X303:AA303"/>
    <mergeCell ref="AE290:AH290"/>
    <mergeCell ref="X291:AA291"/>
    <mergeCell ref="AE291:AH291"/>
    <mergeCell ref="X292:AA292"/>
    <mergeCell ref="AE292:AH292"/>
    <mergeCell ref="X293:AA293"/>
    <mergeCell ref="AE293:AH293"/>
    <mergeCell ref="X298:AA298"/>
    <mergeCell ref="AE298:AH298"/>
    <mergeCell ref="X294:AA294"/>
    <mergeCell ref="AE294:AH294"/>
    <mergeCell ref="X318:AA318"/>
    <mergeCell ref="AE318:AH318"/>
    <mergeCell ref="X314:AA314"/>
    <mergeCell ref="AE314:AH314"/>
    <mergeCell ref="X315:AA315"/>
    <mergeCell ref="AE316:AH316"/>
    <mergeCell ref="X296:AA296"/>
    <mergeCell ref="AE296:AH296"/>
    <mergeCell ref="X295:AA295"/>
    <mergeCell ref="AE295:AH295"/>
    <mergeCell ref="X297:AA297"/>
    <mergeCell ref="X313:AA313"/>
    <mergeCell ref="AE313:AH313"/>
    <mergeCell ref="AE303:AH303"/>
    <mergeCell ref="X304:AA304"/>
    <mergeCell ref="AE304:AH304"/>
    <mergeCell ref="X299:AA299"/>
    <mergeCell ref="AE299:AH299"/>
    <mergeCell ref="X300:AA300"/>
    <mergeCell ref="AE300:AH300"/>
    <mergeCell ref="X286:AA286"/>
    <mergeCell ref="AE286:AH286"/>
    <mergeCell ref="X287:AA287"/>
    <mergeCell ref="AE287:AH287"/>
    <mergeCell ref="X288:AA288"/>
    <mergeCell ref="AE288:AH288"/>
    <mergeCell ref="X289:AA289"/>
    <mergeCell ref="AE289:AH289"/>
    <mergeCell ref="AE241:AH241"/>
    <mergeCell ref="X242:AA242"/>
    <mergeCell ref="X281:AA281"/>
    <mergeCell ref="AE281:AH281"/>
    <mergeCell ref="X283:AA283"/>
    <mergeCell ref="AE283:AH283"/>
    <mergeCell ref="X284:AA284"/>
    <mergeCell ref="AE284:AH284"/>
    <mergeCell ref="X285:AA285"/>
    <mergeCell ref="AE285:AH285"/>
    <mergeCell ref="X282:AA282"/>
    <mergeCell ref="AE282:AH282"/>
    <mergeCell ref="X274:AA274"/>
    <mergeCell ref="AE274:AH274"/>
    <mergeCell ref="AC263:AI263"/>
    <mergeCell ref="X263:AA263"/>
    <mergeCell ref="A207:C263"/>
    <mergeCell ref="X207:AA207"/>
    <mergeCell ref="AE207:AH207"/>
    <mergeCell ref="X214:AA214"/>
    <mergeCell ref="AE214:AH214"/>
    <mergeCell ref="X222:AA222"/>
    <mergeCell ref="X229:AA229"/>
    <mergeCell ref="AE229:AH229"/>
    <mergeCell ref="X230:AA230"/>
    <mergeCell ref="AE230:AH230"/>
    <mergeCell ref="X233:AA233"/>
    <mergeCell ref="AE233:AH233"/>
    <mergeCell ref="AE231:AH231"/>
    <mergeCell ref="X232:AA232"/>
    <mergeCell ref="X234:AA234"/>
    <mergeCell ref="X238:AA238"/>
    <mergeCell ref="X258:AA258"/>
    <mergeCell ref="AE254:AH254"/>
    <mergeCell ref="AE239:AH239"/>
    <mergeCell ref="X240:AA240"/>
    <mergeCell ref="AE240:AH240"/>
    <mergeCell ref="X241:AA241"/>
    <mergeCell ref="AE256:AH256"/>
    <mergeCell ref="X213:AA213"/>
    <mergeCell ref="AC320:AI320"/>
    <mergeCell ref="X317:AA317"/>
    <mergeCell ref="X319:AA319"/>
    <mergeCell ref="AE315:AH315"/>
    <mergeCell ref="X316:AA316"/>
    <mergeCell ref="AC205:AI205"/>
    <mergeCell ref="AC206:AI206"/>
    <mergeCell ref="AE317:AH317"/>
    <mergeCell ref="AE308:AH308"/>
    <mergeCell ref="AE297:AH297"/>
    <mergeCell ref="AE261:AH261"/>
    <mergeCell ref="AE232:AH232"/>
    <mergeCell ref="AE272:AH272"/>
    <mergeCell ref="AE222:AH222"/>
    <mergeCell ref="X269:AA269"/>
    <mergeCell ref="AE269:AH269"/>
    <mergeCell ref="AC217:AI217"/>
    <mergeCell ref="AC218:AI218"/>
    <mergeCell ref="X266:AA266"/>
    <mergeCell ref="AE266:AH266"/>
    <mergeCell ref="X267:AA267"/>
    <mergeCell ref="AE267:AH267"/>
    <mergeCell ref="AE226:AH226"/>
    <mergeCell ref="X227:AA227"/>
    <mergeCell ref="AE148:AH148"/>
    <mergeCell ref="X116:AA116"/>
    <mergeCell ref="X136:AA136"/>
    <mergeCell ref="X148:AA148"/>
    <mergeCell ref="AE45:AH45"/>
    <mergeCell ref="AE47:AH47"/>
    <mergeCell ref="X51:AA51"/>
    <mergeCell ref="X52:AA52"/>
    <mergeCell ref="AE52:AH52"/>
    <mergeCell ref="X45:AA45"/>
    <mergeCell ref="X138:AA138"/>
    <mergeCell ref="AE138:AH138"/>
    <mergeCell ref="AE136:AH136"/>
    <mergeCell ref="X47:AA47"/>
    <mergeCell ref="X137:AA137"/>
    <mergeCell ref="AE137:AH137"/>
    <mergeCell ref="X99:AA99"/>
    <mergeCell ref="AE46:AH46"/>
    <mergeCell ref="AE48:AH48"/>
    <mergeCell ref="X122:AA122"/>
    <mergeCell ref="X72:AA72"/>
    <mergeCell ref="X78:AA78"/>
    <mergeCell ref="AE84:AH84"/>
    <mergeCell ref="AE74:AH74"/>
    <mergeCell ref="X226:AA226"/>
    <mergeCell ref="X191:AA191"/>
    <mergeCell ref="AE191:AH191"/>
    <mergeCell ref="X192:AA192"/>
    <mergeCell ref="AE192:AH192"/>
    <mergeCell ref="X193:AA193"/>
    <mergeCell ref="AE193:AH193"/>
    <mergeCell ref="X194:AA194"/>
    <mergeCell ref="X208:AA208"/>
    <mergeCell ref="AE208:AH208"/>
    <mergeCell ref="X209:AA209"/>
    <mergeCell ref="AE209:AH209"/>
    <mergeCell ref="AE213:AH213"/>
    <mergeCell ref="X221:AA221"/>
    <mergeCell ref="AE221:AH221"/>
    <mergeCell ref="AE198:AH198"/>
    <mergeCell ref="X195:AA195"/>
    <mergeCell ref="AE195:AH195"/>
    <mergeCell ref="X196:AA196"/>
    <mergeCell ref="AE196:AH196"/>
    <mergeCell ref="X220:AA220"/>
    <mergeCell ref="X198:AA198"/>
    <mergeCell ref="AE204:AH204"/>
    <mergeCell ref="AE212:AH212"/>
    <mergeCell ref="X37:AA37"/>
    <mergeCell ref="AE70:AH70"/>
    <mergeCell ref="AE81:AH81"/>
    <mergeCell ref="X83:AA83"/>
    <mergeCell ref="AE71:AH71"/>
    <mergeCell ref="AE88:AH88"/>
    <mergeCell ref="X71:AA71"/>
    <mergeCell ref="S136:U136"/>
    <mergeCell ref="S137:U137"/>
    <mergeCell ref="X109:AA109"/>
    <mergeCell ref="AE109:AH109"/>
    <mergeCell ref="X62:AA62"/>
    <mergeCell ref="X61:AA61"/>
    <mergeCell ref="X59:AA59"/>
    <mergeCell ref="AC57:AI57"/>
    <mergeCell ref="AC58:AI58"/>
    <mergeCell ref="AC59:AI59"/>
    <mergeCell ref="AC60:AI60"/>
    <mergeCell ref="X108:AA108"/>
    <mergeCell ref="AE108:AH108"/>
    <mergeCell ref="X86:AA86"/>
    <mergeCell ref="AE86:AH86"/>
    <mergeCell ref="X89:AA89"/>
    <mergeCell ref="AE89:AH89"/>
    <mergeCell ref="X53:AA53"/>
    <mergeCell ref="AE76:AH76"/>
    <mergeCell ref="X77:AA77"/>
    <mergeCell ref="X74:AA74"/>
    <mergeCell ref="X84:AA84"/>
    <mergeCell ref="AE44:AH44"/>
    <mergeCell ref="AE66:AH66"/>
    <mergeCell ref="AE67:AH67"/>
    <mergeCell ref="AE68:AH68"/>
    <mergeCell ref="X139:AA139"/>
    <mergeCell ref="X90:AA90"/>
    <mergeCell ref="Q5:T5"/>
    <mergeCell ref="U5:V5"/>
    <mergeCell ref="X180:AA180"/>
    <mergeCell ref="AE180:AH180"/>
    <mergeCell ref="AE82:AH82"/>
    <mergeCell ref="X82:AA82"/>
    <mergeCell ref="AE77:AH77"/>
    <mergeCell ref="AE83:AH83"/>
    <mergeCell ref="AE34:AH34"/>
    <mergeCell ref="X38:AA38"/>
    <mergeCell ref="X66:AA66"/>
    <mergeCell ref="AE29:AH29"/>
    <mergeCell ref="AE33:AH33"/>
    <mergeCell ref="AE30:AH30"/>
    <mergeCell ref="AE23:AH23"/>
    <mergeCell ref="X30:AA30"/>
    <mergeCell ref="X27:AA27"/>
    <mergeCell ref="X28:AA28"/>
    <mergeCell ref="X163:AA163"/>
    <mergeCell ref="X31:AA31"/>
    <mergeCell ref="AE31:AH31"/>
    <mergeCell ref="AE72:AH72"/>
    <mergeCell ref="AE25:AH25"/>
    <mergeCell ref="X23:AA23"/>
    <mergeCell ref="AE90:AH90"/>
    <mergeCell ref="X98:AA98"/>
    <mergeCell ref="AE98:AH98"/>
    <mergeCell ref="A17:AI17"/>
    <mergeCell ref="A35:AI35"/>
    <mergeCell ref="X65:AA65"/>
    <mergeCell ref="AE65:AH65"/>
    <mergeCell ref="X43:AA43"/>
    <mergeCell ref="AE43:AH43"/>
    <mergeCell ref="X21:AA21"/>
    <mergeCell ref="AE21:AH21"/>
    <mergeCell ref="X41:AA41"/>
    <mergeCell ref="AE41:AH41"/>
    <mergeCell ref="X42:AA42"/>
    <mergeCell ref="AE42:AH42"/>
    <mergeCell ref="AC53:AI53"/>
    <mergeCell ref="AE79:AH79"/>
    <mergeCell ref="AE87:AH87"/>
    <mergeCell ref="X79:AA79"/>
    <mergeCell ref="X80:AA80"/>
    <mergeCell ref="AE80:AH80"/>
    <mergeCell ref="X81:AA81"/>
  </mergeCells>
  <conditionalFormatting sqref="C7:N8">
    <cfRule type="expression" dxfId="10" priority="1">
      <formula>C$6</formula>
    </cfRule>
  </conditionalFormatting>
  <dataValidations count="1">
    <dataValidation type="list" allowBlank="1" showInputMessage="1" showErrorMessage="1" sqref="U5:V5" xr:uid="{C1728C6C-AEC7-4ADA-8E34-0BD79AD546A9}">
      <formula1>"1,2,3,4,5,6,7,8,9,10,11,12,I-Semestre,II-Semestre"</formula1>
    </dataValidation>
  </dataValidations>
  <printOptions horizontalCentered="1"/>
  <pageMargins left="0.19685039370078741" right="0.19685039370078741" top="0.19685039370078741" bottom="0.19685039370078741" header="0" footer="0"/>
  <pageSetup paperSize="9" scale="54" fitToHeight="2" orientation="portrait" r:id="rId1"/>
  <headerFooter alignWithMargins="0">
    <oddFooter>&amp;R&amp;"Times New Roman,Normal"Pag. &amp;P de &amp;N&amp;"Arial,Normal"&amp;"Cambria,Negrita"www.srianexos.com</oddFooter>
  </headerFooter>
  <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Hoja5">
    <pageSetUpPr fitToPage="1"/>
  </sheetPr>
  <dimension ref="A1:AN135"/>
  <sheetViews>
    <sheetView showGridLines="0" zoomScale="75" zoomScaleNormal="75" workbookViewId="0"/>
  </sheetViews>
  <sheetFormatPr baseColWidth="10" defaultColWidth="4.7265625" defaultRowHeight="22.5" customHeight="1" x14ac:dyDescent="0.35"/>
  <cols>
    <col min="1" max="1" width="5.81640625" style="3" customWidth="1"/>
    <col min="2" max="15" width="5.7265625" style="3" customWidth="1"/>
    <col min="16" max="24" width="5.81640625" style="3" customWidth="1"/>
    <col min="25" max="25" width="10.81640625" style="3" hidden="1" customWidth="1"/>
    <col min="26" max="26" width="5.81640625" style="3" customWidth="1"/>
    <col min="27" max="30" width="5.26953125" style="3" customWidth="1"/>
    <col min="31" max="37" width="5.81640625" style="3" customWidth="1"/>
    <col min="38" max="38" width="1.1796875" style="3" customWidth="1"/>
    <col min="39" max="39" width="5.453125" style="3" customWidth="1"/>
    <col min="40" max="40" width="9.54296875" style="3" bestFit="1" customWidth="1"/>
    <col min="41" max="16384" width="4.7265625" style="3"/>
  </cols>
  <sheetData>
    <row r="1" spans="1:40" s="264" customFormat="1" ht="15.5" x14ac:dyDescent="0.35">
      <c r="A1" s="193"/>
      <c r="B1" s="192"/>
      <c r="C1" s="192" t="s">
        <v>750</v>
      </c>
      <c r="D1" s="191" t="s">
        <v>930</v>
      </c>
      <c r="E1" s="275"/>
      <c r="F1" s="276"/>
      <c r="G1" s="188"/>
      <c r="H1" s="187"/>
      <c r="I1" s="1047" t="s">
        <v>929</v>
      </c>
      <c r="J1" s="1048"/>
      <c r="K1" s="1048"/>
      <c r="L1" s="1048"/>
      <c r="M1" s="1048"/>
      <c r="N1" s="1048"/>
      <c r="O1" s="1048"/>
      <c r="P1" s="1048"/>
      <c r="Q1" s="1048"/>
      <c r="R1" s="1048"/>
      <c r="S1" s="1048"/>
      <c r="T1" s="1048"/>
      <c r="U1" s="1048"/>
      <c r="V1" s="1048"/>
      <c r="W1" s="1048"/>
      <c r="X1" s="1048"/>
      <c r="Y1" s="1048"/>
      <c r="Z1" s="1048"/>
      <c r="AA1" s="1048"/>
      <c r="AB1" s="1048"/>
      <c r="AC1" s="1048"/>
      <c r="AD1" s="1048"/>
      <c r="AE1" s="1049"/>
      <c r="AF1" s="1043" t="s">
        <v>928</v>
      </c>
      <c r="AG1" s="1227"/>
      <c r="AH1" s="277"/>
      <c r="AI1" s="185"/>
      <c r="AJ1" s="185"/>
      <c r="AK1" s="184"/>
    </row>
    <row r="2" spans="1:40" s="264" customFormat="1" ht="13.5" thickBot="1" x14ac:dyDescent="0.4">
      <c r="A2" s="183"/>
      <c r="B2" s="182"/>
      <c r="C2" s="182" t="s">
        <v>750</v>
      </c>
      <c r="D2" s="182" t="s">
        <v>927</v>
      </c>
      <c r="E2" s="181"/>
      <c r="F2" s="181"/>
      <c r="G2" s="181"/>
      <c r="H2" s="180"/>
      <c r="I2" s="1050"/>
      <c r="J2" s="1051"/>
      <c r="K2" s="1051"/>
      <c r="L2" s="1051"/>
      <c r="M2" s="1051"/>
      <c r="N2" s="1051"/>
      <c r="O2" s="1051"/>
      <c r="P2" s="1051"/>
      <c r="Q2" s="1051"/>
      <c r="R2" s="1051"/>
      <c r="S2" s="1051"/>
      <c r="T2" s="1051"/>
      <c r="U2" s="1051"/>
      <c r="V2" s="1051"/>
      <c r="W2" s="1051"/>
      <c r="X2" s="1051"/>
      <c r="Y2" s="1051"/>
      <c r="Z2" s="1051"/>
      <c r="AA2" s="1051"/>
      <c r="AB2" s="1051"/>
      <c r="AC2" s="1051"/>
      <c r="AD2" s="1051"/>
      <c r="AE2" s="1052"/>
      <c r="AF2" s="1228"/>
      <c r="AG2" s="1229"/>
      <c r="AH2" s="278"/>
      <c r="AI2" s="178"/>
      <c r="AJ2" s="178"/>
      <c r="AK2" s="177"/>
    </row>
    <row r="3" spans="1:40" s="168" customFormat="1" ht="15.65" customHeight="1" x14ac:dyDescent="0.35">
      <c r="A3" s="175" t="s">
        <v>926</v>
      </c>
      <c r="B3" s="174"/>
      <c r="C3" s="174"/>
      <c r="D3" s="174"/>
      <c r="E3" s="174"/>
      <c r="F3" s="174"/>
      <c r="G3" s="173"/>
      <c r="H3" s="172"/>
      <c r="I3" s="172"/>
      <c r="J3" s="172"/>
      <c r="K3" s="172"/>
      <c r="M3" s="170"/>
      <c r="N3" s="170"/>
      <c r="O3" s="171"/>
      <c r="P3" s="170"/>
      <c r="R3" s="170"/>
      <c r="S3" s="170"/>
      <c r="T3" s="170"/>
      <c r="U3" s="170"/>
      <c r="V3" s="170"/>
      <c r="W3" s="170"/>
      <c r="X3" s="170"/>
      <c r="Y3" s="170"/>
      <c r="AJ3" s="170"/>
      <c r="AK3" s="169"/>
      <c r="AM3" s="264"/>
    </row>
    <row r="4" spans="1:40" s="168" customFormat="1" ht="17.149999999999999" customHeight="1" x14ac:dyDescent="0.35">
      <c r="A4" s="260"/>
      <c r="B4" s="174"/>
      <c r="C4" s="279">
        <f>IF(C5,C6,0)</f>
        <v>1</v>
      </c>
      <c r="D4" s="279">
        <f t="shared" ref="D4:N4" si="0">IF(D5,D6,0)</f>
        <v>0</v>
      </c>
      <c r="E4" s="279">
        <f t="shared" si="0"/>
        <v>0</v>
      </c>
      <c r="F4" s="279">
        <f t="shared" si="0"/>
        <v>0</v>
      </c>
      <c r="G4" s="279">
        <f t="shared" si="0"/>
        <v>0</v>
      </c>
      <c r="H4" s="279">
        <f t="shared" si="0"/>
        <v>0</v>
      </c>
      <c r="I4" s="279">
        <f t="shared" si="0"/>
        <v>0</v>
      </c>
      <c r="J4" s="279">
        <f t="shared" si="0"/>
        <v>0</v>
      </c>
      <c r="K4" s="279">
        <f t="shared" si="0"/>
        <v>0</v>
      </c>
      <c r="L4" s="279">
        <f t="shared" si="0"/>
        <v>0</v>
      </c>
      <c r="M4" s="279">
        <f t="shared" si="0"/>
        <v>0</v>
      </c>
      <c r="N4" s="279">
        <f t="shared" si="0"/>
        <v>0</v>
      </c>
      <c r="O4" s="171"/>
      <c r="P4" s="963" t="s">
        <v>1189</v>
      </c>
      <c r="Q4" s="963"/>
      <c r="R4" s="963"/>
      <c r="S4" s="963"/>
      <c r="T4" s="964">
        <v>1</v>
      </c>
      <c r="U4" s="965"/>
      <c r="V4" s="457" t="s">
        <v>1482</v>
      </c>
      <c r="W4" s="458"/>
      <c r="X4" s="458"/>
      <c r="Y4" s="458"/>
      <c r="Z4" s="459"/>
      <c r="AA4" s="459"/>
      <c r="AB4" s="459"/>
      <c r="AC4" s="459"/>
      <c r="AJ4" s="170"/>
      <c r="AK4" s="169"/>
      <c r="AM4" s="264"/>
    </row>
    <row r="5" spans="1:40" s="168" customFormat="1" ht="4" customHeight="1" x14ac:dyDescent="0.35">
      <c r="A5" s="260"/>
      <c r="B5" s="174"/>
      <c r="C5" s="279" t="b">
        <f>IF($T$4=LIQ_IMPUESTOS!$C5,TRUE,FALSE)</f>
        <v>1</v>
      </c>
      <c r="D5" s="279" t="b">
        <f>IF($T$4=LIQ_IMPUESTOS!$C6,TRUE,FALSE)</f>
        <v>0</v>
      </c>
      <c r="E5" s="279" t="b">
        <f>IF($T$4=LIQ_IMPUESTOS!$C7,TRUE,FALSE)</f>
        <v>0</v>
      </c>
      <c r="F5" s="279" t="b">
        <f>IF($T$4=LIQ_IMPUESTOS!$C8,TRUE,FALSE)</f>
        <v>0</v>
      </c>
      <c r="G5" s="279" t="b">
        <f>IF($T$4=LIQ_IMPUESTOS!$C9,TRUE,FALSE)</f>
        <v>0</v>
      </c>
      <c r="H5" s="279" t="b">
        <f>IF($T$4=LIQ_IMPUESTOS!$C10,TRUE,FALSE)</f>
        <v>0</v>
      </c>
      <c r="I5" s="279" t="b">
        <f>IF($T$4=LIQ_IMPUESTOS!$C11,TRUE,FALSE)</f>
        <v>0</v>
      </c>
      <c r="J5" s="279" t="b">
        <f>IF($T$4=LIQ_IMPUESTOS!$C12,TRUE,FALSE)</f>
        <v>0</v>
      </c>
      <c r="K5" s="279" t="b">
        <f>IF($T$4=LIQ_IMPUESTOS!$C13,TRUE,FALSE)</f>
        <v>0</v>
      </c>
      <c r="L5" s="279" t="b">
        <f>IF($T$4=LIQ_IMPUESTOS!$C14,TRUE,FALSE)</f>
        <v>0</v>
      </c>
      <c r="M5" s="279" t="b">
        <f>IF($T$4=LIQ_IMPUESTOS!$C15,TRUE,FALSE)</f>
        <v>0</v>
      </c>
      <c r="N5" s="279" t="b">
        <f>IF($T$4=LIQ_IMPUESTOS!$C16,TRUE,FALSE)</f>
        <v>0</v>
      </c>
      <c r="O5" s="171"/>
      <c r="P5" s="170"/>
      <c r="Q5" s="170"/>
      <c r="R5" s="170"/>
      <c r="S5" s="170"/>
      <c r="T5" s="170"/>
      <c r="U5" s="170"/>
      <c r="V5" s="170"/>
      <c r="W5" s="170"/>
      <c r="X5" s="170"/>
      <c r="Y5" s="170"/>
      <c r="AJ5" s="170"/>
      <c r="AK5" s="169"/>
      <c r="AM5" s="264"/>
    </row>
    <row r="6" spans="1:40" s="168" customFormat="1" ht="11.25" customHeight="1" x14ac:dyDescent="0.35">
      <c r="A6" s="1038">
        <v>101</v>
      </c>
      <c r="B6" s="1232" t="s">
        <v>924</v>
      </c>
      <c r="C6" s="1037">
        <v>1</v>
      </c>
      <c r="D6" s="1037">
        <v>2</v>
      </c>
      <c r="E6" s="1037">
        <v>3</v>
      </c>
      <c r="F6" s="1037">
        <v>4</v>
      </c>
      <c r="G6" s="1037">
        <v>5</v>
      </c>
      <c r="H6" s="1037">
        <v>6</v>
      </c>
      <c r="I6" s="1037">
        <v>7</v>
      </c>
      <c r="J6" s="1037">
        <v>8</v>
      </c>
      <c r="K6" s="1037">
        <v>9</v>
      </c>
      <c r="L6" s="1037">
        <v>10</v>
      </c>
      <c r="M6" s="1037">
        <v>11</v>
      </c>
      <c r="N6" s="1037">
        <v>12</v>
      </c>
      <c r="O6" s="170"/>
      <c r="P6" s="1038">
        <v>102</v>
      </c>
      <c r="Q6" s="1033" t="s">
        <v>923</v>
      </c>
      <c r="R6" s="1031" t="str">
        <f>MID(XLSperiodo,1,1)</f>
        <v>2</v>
      </c>
      <c r="S6" s="1031" t="str">
        <f>MID(XLSperiodo,2,1)</f>
        <v>0</v>
      </c>
      <c r="T6" s="1031" t="str">
        <f>MID(XLSperiodo,3,1)</f>
        <v>2</v>
      </c>
      <c r="U6" s="1031" t="str">
        <f>MID(XLSperiodo,4,1)</f>
        <v>6</v>
      </c>
      <c r="W6" s="1126">
        <v>104</v>
      </c>
      <c r="X6" s="1128" t="s">
        <v>922</v>
      </c>
      <c r="Y6" s="1129"/>
      <c r="Z6" s="1129"/>
      <c r="AA6" s="1129"/>
      <c r="AB6" s="1129"/>
      <c r="AC6" s="1129"/>
      <c r="AD6" s="1129"/>
      <c r="AE6" s="1130"/>
      <c r="AG6" s="1126">
        <v>203</v>
      </c>
      <c r="AH6" s="1128" t="s">
        <v>2084</v>
      </c>
      <c r="AI6" s="1129"/>
      <c r="AJ6" s="1130"/>
      <c r="AK6" s="169"/>
      <c r="AM6" s="264"/>
    </row>
    <row r="7" spans="1:40" s="168" customFormat="1" ht="20.25" customHeight="1" x14ac:dyDescent="0.35">
      <c r="A7" s="1038"/>
      <c r="B7" s="1232"/>
      <c r="C7" s="1037"/>
      <c r="D7" s="1037"/>
      <c r="E7" s="1037"/>
      <c r="F7" s="1037"/>
      <c r="G7" s="1037"/>
      <c r="H7" s="1037"/>
      <c r="I7" s="1037"/>
      <c r="J7" s="1037"/>
      <c r="K7" s="1037"/>
      <c r="L7" s="1037"/>
      <c r="M7" s="1037"/>
      <c r="N7" s="1037"/>
      <c r="O7" s="170"/>
      <c r="P7" s="1038"/>
      <c r="Q7" s="1033"/>
      <c r="R7" s="1032"/>
      <c r="S7" s="1032"/>
      <c r="T7" s="1032"/>
      <c r="U7" s="1032"/>
      <c r="V7" s="170"/>
      <c r="W7" s="1127"/>
      <c r="X7" s="1034"/>
      <c r="Y7" s="1035"/>
      <c r="Z7" s="1035"/>
      <c r="AA7" s="1035"/>
      <c r="AB7" s="1035"/>
      <c r="AC7" s="1035"/>
      <c r="AD7" s="1035"/>
      <c r="AE7" s="1036"/>
      <c r="AG7" s="1127"/>
      <c r="AH7" s="1034"/>
      <c r="AI7" s="1035"/>
      <c r="AJ7" s="1036"/>
      <c r="AK7" s="169"/>
      <c r="AM7" s="264"/>
    </row>
    <row r="8" spans="1:40" ht="22.5" customHeight="1" x14ac:dyDescent="0.35">
      <c r="A8" s="167" t="s">
        <v>921</v>
      </c>
      <c r="B8" s="166"/>
      <c r="C8" s="166"/>
      <c r="D8" s="166"/>
      <c r="E8" s="166"/>
      <c r="F8" s="167"/>
      <c r="G8" s="166"/>
      <c r="H8" s="166"/>
      <c r="I8" s="166"/>
      <c r="J8" s="166"/>
      <c r="K8" s="166"/>
      <c r="L8" s="166"/>
      <c r="M8" s="166"/>
      <c r="N8" s="166"/>
      <c r="O8" s="166"/>
      <c r="P8" s="166"/>
      <c r="Q8" s="166"/>
      <c r="R8" s="166"/>
      <c r="S8" s="166"/>
      <c r="T8" s="166"/>
      <c r="U8" s="166"/>
      <c r="V8" s="166"/>
      <c r="W8" s="166"/>
      <c r="X8" s="166"/>
      <c r="Y8" s="166"/>
      <c r="Z8" s="166"/>
      <c r="AA8" s="166"/>
      <c r="AB8" s="166"/>
      <c r="AC8" s="166"/>
      <c r="AD8" s="166"/>
      <c r="AE8" s="166"/>
      <c r="AF8" s="165"/>
      <c r="AG8" s="165"/>
      <c r="AH8" s="165"/>
      <c r="AI8" s="165"/>
      <c r="AJ8" s="165"/>
      <c r="AK8" s="164"/>
      <c r="AM8" s="264"/>
    </row>
    <row r="9" spans="1:40" ht="12.75" customHeight="1" x14ac:dyDescent="0.35">
      <c r="A9" s="1029">
        <v>201</v>
      </c>
      <c r="B9" s="163" t="s">
        <v>920</v>
      </c>
      <c r="C9" s="162"/>
      <c r="D9" s="162"/>
      <c r="E9" s="162"/>
      <c r="F9" s="162"/>
      <c r="G9" s="162"/>
      <c r="H9" s="162"/>
      <c r="I9" s="162"/>
      <c r="J9" s="162"/>
      <c r="K9" s="162"/>
      <c r="L9" s="162"/>
      <c r="M9" s="162"/>
      <c r="N9" s="162"/>
      <c r="O9" s="161">
        <v>202</v>
      </c>
      <c r="P9" s="160" t="s">
        <v>919</v>
      </c>
      <c r="Q9" s="37"/>
      <c r="R9" s="159"/>
      <c r="S9" s="159"/>
      <c r="T9" s="159"/>
      <c r="U9" s="159"/>
      <c r="V9" s="159"/>
      <c r="W9" s="159"/>
      <c r="X9" s="159"/>
      <c r="Y9" s="159"/>
      <c r="Z9" s="159"/>
      <c r="AA9" s="159"/>
      <c r="AB9" s="159"/>
      <c r="AC9" s="159"/>
      <c r="AD9" s="159"/>
      <c r="AE9" s="159"/>
      <c r="AF9" s="159"/>
      <c r="AG9" s="159"/>
      <c r="AH9" s="159"/>
      <c r="AI9" s="159"/>
      <c r="AJ9" s="159"/>
      <c r="AK9" s="158"/>
      <c r="AM9" s="264"/>
    </row>
    <row r="10" spans="1:40" ht="18.75" customHeight="1" x14ac:dyDescent="0.35">
      <c r="A10" s="1030"/>
      <c r="B10" s="1233" t="str">
        <f>Parametros!D4</f>
        <v>1306304542001</v>
      </c>
      <c r="C10" s="1234"/>
      <c r="D10" s="1234"/>
      <c r="E10" s="1234"/>
      <c r="F10" s="1234"/>
      <c r="G10" s="1234"/>
      <c r="H10" s="1234"/>
      <c r="I10" s="1234"/>
      <c r="J10" s="1234"/>
      <c r="K10" s="1234"/>
      <c r="L10" s="1234"/>
      <c r="M10" s="1234"/>
      <c r="N10" s="1235"/>
      <c r="O10" s="157"/>
      <c r="P10" s="1230" t="str">
        <f>+Parametros!D5</f>
        <v>VELIZ NAPA JAVIER</v>
      </c>
      <c r="Q10" s="1230"/>
      <c r="R10" s="1230"/>
      <c r="S10" s="1230"/>
      <c r="T10" s="1230"/>
      <c r="U10" s="1230"/>
      <c r="V10" s="1230"/>
      <c r="W10" s="1230"/>
      <c r="X10" s="1230"/>
      <c r="Y10" s="1230"/>
      <c r="Z10" s="1230"/>
      <c r="AA10" s="1230"/>
      <c r="AB10" s="1230"/>
      <c r="AC10" s="1230"/>
      <c r="AD10" s="1230"/>
      <c r="AE10" s="1230"/>
      <c r="AF10" s="1230"/>
      <c r="AG10" s="1230"/>
      <c r="AH10" s="1230"/>
      <c r="AI10" s="1230"/>
      <c r="AJ10" s="1230"/>
      <c r="AK10" s="1231"/>
      <c r="AM10" s="264"/>
    </row>
    <row r="11" spans="1:40" ht="8.25" customHeight="1" thickBot="1" x14ac:dyDescent="0.4">
      <c r="A11" s="156"/>
      <c r="B11" s="155"/>
      <c r="AK11" s="19"/>
      <c r="AM11" s="264"/>
    </row>
    <row r="12" spans="1:40" s="75" customFormat="1" ht="19.5" customHeight="1" thickBot="1" x14ac:dyDescent="0.4">
      <c r="A12" s="154" t="s">
        <v>918</v>
      </c>
      <c r="B12" s="152"/>
      <c r="C12" s="152"/>
      <c r="D12" s="152"/>
      <c r="E12" s="152"/>
      <c r="F12" s="153"/>
      <c r="G12" s="152"/>
      <c r="H12" s="152"/>
      <c r="I12" s="152"/>
      <c r="J12" s="152"/>
      <c r="K12" s="152"/>
      <c r="L12" s="152"/>
      <c r="M12" s="152"/>
      <c r="N12" s="152"/>
      <c r="O12" s="151"/>
      <c r="P12" s="1172" t="s">
        <v>873</v>
      </c>
      <c r="Q12" s="1173"/>
      <c r="R12" s="1173"/>
      <c r="S12" s="1173"/>
      <c r="T12" s="1173"/>
      <c r="U12" s="1173"/>
      <c r="V12" s="1174"/>
      <c r="W12" s="1066" t="s">
        <v>872</v>
      </c>
      <c r="X12" s="1067"/>
      <c r="Y12" s="1067"/>
      <c r="Z12" s="1067"/>
      <c r="AA12" s="1067"/>
      <c r="AB12" s="1067"/>
      <c r="AC12" s="1067"/>
      <c r="AD12" s="1068"/>
      <c r="AE12" s="1172" t="s">
        <v>871</v>
      </c>
      <c r="AF12" s="1173"/>
      <c r="AG12" s="1173"/>
      <c r="AH12" s="1173"/>
      <c r="AI12" s="1173"/>
      <c r="AJ12" s="1173"/>
      <c r="AK12" s="1174"/>
      <c r="AM12" s="264"/>
      <c r="AN12" s="462"/>
    </row>
    <row r="13" spans="1:40" s="75" customFormat="1" ht="18.75" customHeight="1" x14ac:dyDescent="0.35">
      <c r="A13" s="150" t="s">
        <v>2009</v>
      </c>
      <c r="B13" s="118"/>
      <c r="C13" s="118"/>
      <c r="D13" s="118"/>
      <c r="E13" s="118"/>
      <c r="F13" s="118"/>
      <c r="G13" s="118"/>
      <c r="H13" s="118"/>
      <c r="I13" s="118"/>
      <c r="J13" s="118"/>
      <c r="K13" s="118"/>
      <c r="L13" s="118"/>
      <c r="M13" s="118"/>
      <c r="N13" s="118"/>
      <c r="O13" s="118"/>
      <c r="P13" s="149" t="s">
        <v>917</v>
      </c>
      <c r="Q13" s="148" t="s">
        <v>770</v>
      </c>
      <c r="R13" s="1120">
        <f>SUMIFS(VENTAS!BG:BG,VENTAS!AJ:AJ,W13,VENTAS!BF:BF,"SI")+SUMIFS(VENTAS!BH:BH,VENTAS!AL:AL,W13,VENTAS!BF:BF,"SI")+SUMIFS(VENTAS!BI:BI,VENTAS!AN:AN,W13,VENTAS!BF:BF,"SI")</f>
        <v>0</v>
      </c>
      <c r="S13" s="1121"/>
      <c r="T13" s="1121"/>
      <c r="U13" s="1121"/>
      <c r="V13" s="1122"/>
      <c r="W13" s="40" t="s">
        <v>916</v>
      </c>
      <c r="X13" s="74" t="s">
        <v>770</v>
      </c>
      <c r="Y13" s="135">
        <f>SUMIFS(VENTAS!AK:AK,VENTAS!AJ:AJ,W13,VENTAS!BF:BF,"SI")+SUMIFS(VENTAS!AM:AM,VENTAS!AL:AL,W13,VENTAS!BF:BF,"SI")+SUMIFS(VENTAS!AO:AO,VENTAS!AN:AN,W13,VENTAS!BF:BF,"SI")</f>
        <v>0</v>
      </c>
      <c r="Z13" s="1137">
        <f>IF(Y13&lt;0,0,Y13)</f>
        <v>0</v>
      </c>
      <c r="AA13" s="1138"/>
      <c r="AB13" s="1138"/>
      <c r="AC13" s="1138"/>
      <c r="AD13" s="1139"/>
      <c r="AE13" s="147" t="s">
        <v>915</v>
      </c>
      <c r="AF13" s="146" t="s">
        <v>770</v>
      </c>
      <c r="AG13" s="1123">
        <f>IF(Z13&gt;0,SUMIFS(VENTAS!R:R,VENTAS!AJ:AJ,W13,VENTAS!BF:BF,"SI")+SUMIFS(VENTAS!R:R,VENTAS!AL:AL,W13,VENTAS!BF:BF,"SI")+SUMIFS(VENTAS!R:R,VENTAS!AN:AN,W13,VENTAS!BF:BF,"SI"),0)</f>
        <v>0</v>
      </c>
      <c r="AH13" s="1124"/>
      <c r="AI13" s="1124"/>
      <c r="AJ13" s="1124"/>
      <c r="AK13" s="1125"/>
      <c r="AL13" s="145"/>
      <c r="AM13" s="264"/>
      <c r="AN13" s="462"/>
    </row>
    <row r="14" spans="1:40" s="75" customFormat="1" ht="18.75" customHeight="1" x14ac:dyDescent="0.35">
      <c r="A14" s="42" t="s">
        <v>2010</v>
      </c>
      <c r="B14" s="15"/>
      <c r="C14" s="15"/>
      <c r="D14" s="15"/>
      <c r="E14" s="15"/>
      <c r="F14" s="15"/>
      <c r="G14" s="15"/>
      <c r="H14" s="15"/>
      <c r="I14" s="15"/>
      <c r="J14" s="15"/>
      <c r="K14" s="15"/>
      <c r="L14" s="15"/>
      <c r="M14" s="15"/>
      <c r="N14" s="15"/>
      <c r="O14" s="15"/>
      <c r="P14" s="72" t="s">
        <v>914</v>
      </c>
      <c r="Q14" s="53" t="s">
        <v>770</v>
      </c>
      <c r="R14" s="1108">
        <f>SUMIFS(VENTAS!BG:BG,VENTAS!AJ:AJ,W14,VENTAS!BF:BF,"SI")+SUMIFS(VENTAS!BH:BH,VENTAS!AL:AL,W14,VENTAS!BF:BF,"SI")+SUMIFS(VENTAS!BI:BI,VENTAS!AN:AN,W14,VENTAS!BF:BF,"SI")</f>
        <v>0</v>
      </c>
      <c r="S14" s="1108"/>
      <c r="T14" s="1108"/>
      <c r="U14" s="1108"/>
      <c r="V14" s="1108"/>
      <c r="W14" s="72" t="s">
        <v>913</v>
      </c>
      <c r="X14" s="53" t="s">
        <v>770</v>
      </c>
      <c r="Y14" s="135">
        <f>SUMIFS(VENTAS!AK:AK,VENTAS!AJ:AJ,W14,VENTAS!BF:BF,"SI")+SUMIFS(VENTAS!AM:AM,VENTAS!AL:AL,W14,VENTAS!BF:BF,"SI")+SUMIFS(VENTAS!AO:AO,VENTAS!AN:AN,W14,VENTAS!BF:BF,"SI")</f>
        <v>0</v>
      </c>
      <c r="Z14" s="1109">
        <f>IF(Y14&lt;0,0,Y14)</f>
        <v>0</v>
      </c>
      <c r="AA14" s="1110"/>
      <c r="AB14" s="1110"/>
      <c r="AC14" s="1110"/>
      <c r="AD14" s="1111"/>
      <c r="AE14" s="36" t="s">
        <v>912</v>
      </c>
      <c r="AF14" s="51" t="s">
        <v>770</v>
      </c>
      <c r="AG14" s="1109">
        <f>IF(Z14&gt;0,SUMIFS(VENTAS!R:R,VENTAS!AJ:AJ,W14,VENTAS!BF:BF,"SI")+SUMIFS(VENTAS!R:R,VENTAS!AL:AL,W14,VENTAS!BF:BF,"SI")+SUMIFS(VENTAS!R:R,VENTAS!AN:AN,W14,VENTAS!BF:BF,"SI"),0)</f>
        <v>0</v>
      </c>
      <c r="AH14" s="1110"/>
      <c r="AI14" s="1110"/>
      <c r="AJ14" s="1110"/>
      <c r="AK14" s="1112"/>
      <c r="AL14" s="144"/>
      <c r="AM14" s="264"/>
      <c r="AN14" s="462"/>
    </row>
    <row r="15" spans="1:40" s="75" customFormat="1" ht="18.75" customHeight="1" x14ac:dyDescent="0.35">
      <c r="A15" s="42" t="s">
        <v>2011</v>
      </c>
      <c r="B15" s="15"/>
      <c r="C15" s="15"/>
      <c r="D15" s="15"/>
      <c r="E15" s="15"/>
      <c r="F15" s="15"/>
      <c r="G15" s="15"/>
      <c r="H15" s="15"/>
      <c r="I15" s="15"/>
      <c r="J15" s="15"/>
      <c r="K15" s="15"/>
      <c r="L15" s="15"/>
      <c r="M15" s="15"/>
      <c r="N15" s="15"/>
      <c r="O15" s="15"/>
      <c r="P15" s="72" t="s">
        <v>2020</v>
      </c>
      <c r="Q15" s="53" t="s">
        <v>770</v>
      </c>
      <c r="R15" s="1108">
        <f>SUMIFS(VENTAS!BG:BG,VENTAS!AJ:AJ,W15,VENTAS!BF:BF,"SI")+SUMIFS(VENTAS!BH:BH,VENTAS!AL:AL,W15,VENTAS!BF:BF,"SI")+SUMIFS(VENTAS!BI:BI,VENTAS!AN:AN,W15,VENTAS!BF:BF,"SI")</f>
        <v>0</v>
      </c>
      <c r="S15" s="1108"/>
      <c r="T15" s="1108"/>
      <c r="U15" s="1108"/>
      <c r="V15" s="1108"/>
      <c r="W15" s="72" t="s">
        <v>2021</v>
      </c>
      <c r="X15" s="53" t="s">
        <v>770</v>
      </c>
      <c r="Y15" s="135">
        <f>SUMIFS(VENTAS!AK:AK,VENTAS!AJ:AJ,W15,VENTAS!BF:BF,"SI")+SUMIFS(VENTAS!AM:AM,VENTAS!AL:AL,W15,VENTAS!BF:BF,"SI")+SUMIFS(VENTAS!AO:AO,VENTAS!AN:AN,W15,VENTAS!BF:BF,"SI")</f>
        <v>0</v>
      </c>
      <c r="Z15" s="1109">
        <f>IF(Y15&lt;0,0,Y15)</f>
        <v>0</v>
      </c>
      <c r="AA15" s="1110"/>
      <c r="AB15" s="1110"/>
      <c r="AC15" s="1110"/>
      <c r="AD15" s="1111"/>
      <c r="AE15" s="36" t="s">
        <v>2022</v>
      </c>
      <c r="AF15" s="51" t="s">
        <v>770</v>
      </c>
      <c r="AG15" s="1109">
        <f>IF(Z15&gt;0,SUMIFS(VENTAS!X:X,VENTAS!AJ:AJ,W15,VENTAS!BF:BF,"SI")+SUMIFS(VENTAS!X:X,VENTAS!AL:AL,W15,VENTAS!BF:BF,"SI")+SUMIFS(VENTAS!X:X,VENTAS!AN:AN,W15,VENTAS!BF:BF,"SI"),0)</f>
        <v>0</v>
      </c>
      <c r="AH15" s="1110"/>
      <c r="AI15" s="1110"/>
      <c r="AJ15" s="1110"/>
      <c r="AK15" s="1112"/>
      <c r="AL15" s="144"/>
      <c r="AM15" s="264"/>
      <c r="AN15" s="462"/>
    </row>
    <row r="16" spans="1:40" s="75" customFormat="1" ht="18.75" customHeight="1" x14ac:dyDescent="0.35">
      <c r="A16" s="42" t="s">
        <v>2237</v>
      </c>
      <c r="B16" s="15"/>
      <c r="C16" s="15"/>
      <c r="D16" s="15"/>
      <c r="E16" s="15"/>
      <c r="F16" s="15"/>
      <c r="G16" s="15"/>
      <c r="H16" s="15"/>
      <c r="I16" s="15"/>
      <c r="J16" s="15"/>
      <c r="K16" s="15"/>
      <c r="L16" s="15"/>
      <c r="M16" s="15"/>
      <c r="N16" s="15"/>
      <c r="O16" s="15"/>
      <c r="P16" s="72" t="s">
        <v>2238</v>
      </c>
      <c r="Q16" s="53" t="s">
        <v>770</v>
      </c>
      <c r="R16" s="1108">
        <f>SUMIFS(VENTAS!BG:BG,VENTAS!AJ:AJ,W16,VENTAS!BF:BF,"SI")+SUMIFS(VENTAS!BH:BH,VENTAS!AL:AL,W16,VENTAS!BF:BF,"SI")+SUMIFS(VENTAS!BI:BI,VENTAS!AN:AN,W16,VENTAS!BF:BF,"SI")</f>
        <v>0</v>
      </c>
      <c r="S16" s="1108"/>
      <c r="T16" s="1108"/>
      <c r="U16" s="1108"/>
      <c r="V16" s="1108"/>
      <c r="W16" s="72" t="s">
        <v>2239</v>
      </c>
      <c r="X16" s="53" t="s">
        <v>770</v>
      </c>
      <c r="Y16" s="135">
        <f>SUMIFS(VENTAS!AK:AK,VENTAS!AJ:AJ,W16,VENTAS!BF:BF,"SI")+SUMIFS(VENTAS!AM:AM,VENTAS!AL:AL,W16,VENTAS!BF:BF,"SI")+SUMIFS(VENTAS!AO:AO,VENTAS!AN:AN,W16,VENTAS!BF:BF,"SI")</f>
        <v>0</v>
      </c>
      <c r="Z16" s="1109">
        <f>IF(Y16&lt;0,0,Y16)</f>
        <v>0</v>
      </c>
      <c r="AA16" s="1110"/>
      <c r="AB16" s="1110"/>
      <c r="AC16" s="1110"/>
      <c r="AD16" s="1111"/>
      <c r="AE16" s="36" t="s">
        <v>2240</v>
      </c>
      <c r="AF16" s="51" t="s">
        <v>770</v>
      </c>
      <c r="AG16" s="1109">
        <f>IF(Z16&gt;0,SUMIFS(VENTAS!U:U,VENTAS!AJ:AJ,W16,VENTAS!BF:BF,"SI")+SUMIFS(VENTAS!U:U,VENTAS!AL:AL,W16,VENTAS!BF:BF,"SI")+SUMIFS(VENTAS!U:U,VENTAS!AN:AN,W16,VENTAS!BF:BF,"SI"),0)</f>
        <v>0</v>
      </c>
      <c r="AH16" s="1110"/>
      <c r="AI16" s="1110"/>
      <c r="AJ16" s="1110"/>
      <c r="AK16" s="1112"/>
      <c r="AL16" s="144"/>
      <c r="AM16" s="264"/>
      <c r="AN16" s="462"/>
    </row>
    <row r="17" spans="1:40" ht="18.75" customHeight="1" x14ac:dyDescent="0.35">
      <c r="A17" s="42" t="s">
        <v>2012</v>
      </c>
      <c r="B17" s="15"/>
      <c r="C17" s="15"/>
      <c r="D17" s="15"/>
      <c r="E17" s="15"/>
      <c r="F17" s="15"/>
      <c r="G17" s="15"/>
      <c r="H17" s="15"/>
      <c r="I17" s="15"/>
      <c r="J17" s="15"/>
      <c r="K17" s="15"/>
      <c r="L17" s="15"/>
      <c r="M17" s="15"/>
      <c r="N17" s="15"/>
      <c r="O17" s="15"/>
      <c r="P17" s="128"/>
      <c r="Q17" s="127"/>
      <c r="R17" s="127"/>
      <c r="S17" s="127"/>
      <c r="T17" s="127"/>
      <c r="U17" s="127"/>
      <c r="V17" s="126"/>
      <c r="W17" s="128"/>
      <c r="X17" s="127"/>
      <c r="Y17" s="127"/>
      <c r="Z17" s="127"/>
      <c r="AA17" s="127"/>
      <c r="AB17" s="127"/>
      <c r="AC17" s="127"/>
      <c r="AD17" s="126"/>
      <c r="AE17" s="36" t="s">
        <v>911</v>
      </c>
      <c r="AF17" s="51" t="s">
        <v>770</v>
      </c>
      <c r="AG17" s="1169">
        <v>0</v>
      </c>
      <c r="AH17" s="1170"/>
      <c r="AI17" s="1170"/>
      <c r="AJ17" s="1170"/>
      <c r="AK17" s="1171"/>
      <c r="AL17" s="75"/>
      <c r="AM17" s="264"/>
      <c r="AN17" s="269"/>
    </row>
    <row r="18" spans="1:40" ht="18.75" customHeight="1" x14ac:dyDescent="0.35">
      <c r="A18" s="42" t="s">
        <v>2013</v>
      </c>
      <c r="B18" s="15"/>
      <c r="C18" s="15"/>
      <c r="D18" s="15"/>
      <c r="E18" s="15"/>
      <c r="F18" s="15"/>
      <c r="G18" s="15"/>
      <c r="H18" s="15"/>
      <c r="I18" s="15"/>
      <c r="J18" s="15"/>
      <c r="K18" s="15"/>
      <c r="L18" s="15"/>
      <c r="M18" s="15"/>
      <c r="N18" s="15"/>
      <c r="O18" s="15"/>
      <c r="P18" s="128"/>
      <c r="Q18" s="127"/>
      <c r="R18" s="127"/>
      <c r="S18" s="127"/>
      <c r="T18" s="127"/>
      <c r="U18" s="127"/>
      <c r="V18" s="126"/>
      <c r="W18" s="128"/>
      <c r="X18" s="127"/>
      <c r="Y18" s="127"/>
      <c r="Z18" s="127"/>
      <c r="AA18" s="127"/>
      <c r="AB18" s="127"/>
      <c r="AC18" s="127"/>
      <c r="AD18" s="126"/>
      <c r="AE18" s="36" t="s">
        <v>1038</v>
      </c>
      <c r="AF18" s="51" t="s">
        <v>770</v>
      </c>
      <c r="AG18" s="1169">
        <v>0</v>
      </c>
      <c r="AH18" s="1170"/>
      <c r="AI18" s="1170"/>
      <c r="AJ18" s="1170"/>
      <c r="AK18" s="1171"/>
      <c r="AL18" s="75"/>
      <c r="AM18" s="264"/>
    </row>
    <row r="19" spans="1:40" s="75" customFormat="1" ht="18.75" customHeight="1" x14ac:dyDescent="0.2">
      <c r="A19" s="41" t="s">
        <v>2014</v>
      </c>
      <c r="B19" s="567"/>
      <c r="C19" s="567"/>
      <c r="D19" s="567"/>
      <c r="E19" s="567"/>
      <c r="F19" s="567"/>
      <c r="G19" s="567"/>
      <c r="H19" s="567"/>
      <c r="I19" s="567"/>
      <c r="J19" s="567"/>
      <c r="K19" s="567"/>
      <c r="L19" s="567"/>
      <c r="M19" s="567"/>
      <c r="N19" s="567"/>
      <c r="O19" s="568"/>
      <c r="P19" s="72" t="s">
        <v>910</v>
      </c>
      <c r="Q19" s="53" t="s">
        <v>770</v>
      </c>
      <c r="R19" s="1108">
        <f>SUMIFS(VENTAS!BG:BG,VENTAS!AJ:AJ,W19,VENTAS!BF:BF,"SI")+SUMIFS(VENTAS!BH:BH,VENTAS!AL:AL,W19,VENTAS!BF:BF,"SI")+SUMIFS(VENTAS!BI:BI,VENTAS!AN:AN,W19,VENTAS!BF:BF,"SI")</f>
        <v>0</v>
      </c>
      <c r="S19" s="1108"/>
      <c r="T19" s="1108"/>
      <c r="U19" s="1108"/>
      <c r="V19" s="1108"/>
      <c r="W19" s="72" t="s">
        <v>909</v>
      </c>
      <c r="X19" s="53" t="s">
        <v>770</v>
      </c>
      <c r="Y19" s="280">
        <f>SUMIFS(VENTAS!AK:AK,VENTAS!AJ:AJ,W19,VENTAS!BF:BF,"SI")+SUMIFS(VENTAS!AM:AM,VENTAS!AL:AL,W19,VENTAS!BF:BF,"SI")+SUMIFS(VENTAS!AO:AO,VENTAS!AN:AN,W19,VENTAS!BF:BF,"SI")</f>
        <v>0</v>
      </c>
      <c r="Z19" s="1109">
        <f t="shared" ref="Z19:Z24" si="1">IF(Y19&lt;0,0,Y19)</f>
        <v>0</v>
      </c>
      <c r="AA19" s="1110"/>
      <c r="AB19" s="1110"/>
      <c r="AC19" s="1110"/>
      <c r="AD19" s="1111"/>
      <c r="AE19" s="1144"/>
      <c r="AF19" s="1145"/>
      <c r="AG19" s="1145"/>
      <c r="AH19" s="1145"/>
      <c r="AI19" s="1145"/>
      <c r="AJ19" s="1145"/>
      <c r="AK19" s="1146"/>
    </row>
    <row r="20" spans="1:40" s="75" customFormat="1" ht="18.75" customHeight="1" x14ac:dyDescent="0.35">
      <c r="A20" s="41" t="s">
        <v>2015</v>
      </c>
      <c r="B20" s="569"/>
      <c r="C20" s="569"/>
      <c r="D20" s="569"/>
      <c r="E20" s="569"/>
      <c r="F20" s="569"/>
      <c r="G20" s="569"/>
      <c r="H20" s="569"/>
      <c r="I20" s="569"/>
      <c r="J20" s="569"/>
      <c r="K20" s="569"/>
      <c r="L20" s="569"/>
      <c r="M20" s="569"/>
      <c r="N20" s="569"/>
      <c r="O20" s="570"/>
      <c r="P20" s="72" t="s">
        <v>908</v>
      </c>
      <c r="Q20" s="53" t="s">
        <v>770</v>
      </c>
      <c r="R20" s="1108">
        <f>SUMIFS(VENTAS!BG:BG,VENTAS!AJ:AJ,W20,VENTAS!BF:BF,"SI")+SUMIFS(VENTAS!BH:BH,VENTAS!AL:AL,W20,VENTAS!BF:BF,"SI")+SUMIFS(VENTAS!BI:BI,VENTAS!AN:AN,W20,VENTAS!BF:BF,"SI")</f>
        <v>0</v>
      </c>
      <c r="S20" s="1108"/>
      <c r="T20" s="1108"/>
      <c r="U20" s="1108"/>
      <c r="V20" s="1108"/>
      <c r="W20" s="72" t="s">
        <v>907</v>
      </c>
      <c r="X20" s="53" t="s">
        <v>770</v>
      </c>
      <c r="Y20" s="135">
        <f>SUMIFS(VENTAS!AK:AK,VENTAS!AJ:AJ,W20,VENTAS!BF:BF,"SI")+SUMIFS(VENTAS!AM:AM,VENTAS!AL:AL,W20,VENTAS!BF:BF,"SI")+SUMIFS(VENTAS!AO:AO,VENTAS!AN:AN,W20,VENTAS!BF:BF,"SI")</f>
        <v>0</v>
      </c>
      <c r="Z20" s="1109">
        <f t="shared" si="1"/>
        <v>0</v>
      </c>
      <c r="AA20" s="1110"/>
      <c r="AB20" s="1110"/>
      <c r="AC20" s="1110"/>
      <c r="AD20" s="1111"/>
      <c r="AE20" s="1147"/>
      <c r="AF20" s="1148"/>
      <c r="AG20" s="1148"/>
      <c r="AH20" s="1148"/>
      <c r="AI20" s="1148"/>
      <c r="AJ20" s="1148"/>
      <c r="AK20" s="1149"/>
    </row>
    <row r="21" spans="1:40" s="75" customFormat="1" ht="18.75" customHeight="1" x14ac:dyDescent="0.35">
      <c r="A21" s="41" t="s">
        <v>2016</v>
      </c>
      <c r="B21" s="569"/>
      <c r="C21" s="569"/>
      <c r="D21" s="569"/>
      <c r="E21" s="569"/>
      <c r="F21" s="569"/>
      <c r="G21" s="569"/>
      <c r="H21" s="569"/>
      <c r="I21" s="569"/>
      <c r="J21" s="569"/>
      <c r="K21" s="569"/>
      <c r="L21" s="569"/>
      <c r="M21" s="569"/>
      <c r="N21" s="569"/>
      <c r="O21" s="569"/>
      <c r="P21" s="72" t="s">
        <v>906</v>
      </c>
      <c r="Q21" s="53" t="s">
        <v>770</v>
      </c>
      <c r="R21" s="1108">
        <f>SUMIFS(VENTAS!BG:BG,VENTAS!AJ:AJ,W21,VENTAS!BF:BF,"SI")+SUMIFS(VENTAS!BH:BH,VENTAS!AL:AL,W21,VENTAS!BF:BF,"SI")+SUMIFS(VENTAS!BI:BI,VENTAS!AN:AN,W21,VENTAS!BF:BF,"SI")</f>
        <v>0</v>
      </c>
      <c r="S21" s="1108"/>
      <c r="T21" s="1108"/>
      <c r="U21" s="1108"/>
      <c r="V21" s="1108"/>
      <c r="W21" s="72" t="s">
        <v>905</v>
      </c>
      <c r="X21" s="53" t="s">
        <v>770</v>
      </c>
      <c r="Y21" s="135">
        <f>SUMIFS(VENTAS!AK:AK,VENTAS!AJ:AJ,W21,VENTAS!BF:BF,"SI")+SUMIFS(VENTAS!AM:AM,VENTAS!AL:AL,W21,VENTAS!BF:BF,"SI")+SUMIFS(VENTAS!AO:AO,VENTAS!AN:AN,W21,VENTAS!BF:BF,"SI")</f>
        <v>0</v>
      </c>
      <c r="Z21" s="1109">
        <f t="shared" si="1"/>
        <v>0</v>
      </c>
      <c r="AA21" s="1110"/>
      <c r="AB21" s="1110"/>
      <c r="AC21" s="1110"/>
      <c r="AD21" s="1111"/>
      <c r="AE21" s="1147"/>
      <c r="AF21" s="1148"/>
      <c r="AG21" s="1148"/>
      <c r="AH21" s="1148"/>
      <c r="AI21" s="1148"/>
      <c r="AJ21" s="1148"/>
      <c r="AK21" s="1149"/>
    </row>
    <row r="22" spans="1:40" s="75" customFormat="1" ht="18.75" customHeight="1" x14ac:dyDescent="0.35">
      <c r="A22" s="41" t="s">
        <v>2017</v>
      </c>
      <c r="B22" s="15"/>
      <c r="C22" s="15"/>
      <c r="D22" s="15"/>
      <c r="E22" s="15"/>
      <c r="F22" s="15"/>
      <c r="G22" s="15"/>
      <c r="H22" s="15"/>
      <c r="I22" s="15"/>
      <c r="J22" s="15"/>
      <c r="K22" s="15"/>
      <c r="L22" s="15"/>
      <c r="M22" s="15"/>
      <c r="N22" s="15"/>
      <c r="O22" s="15"/>
      <c r="P22" s="72" t="s">
        <v>904</v>
      </c>
      <c r="Q22" s="53" t="s">
        <v>770</v>
      </c>
      <c r="R22" s="1108">
        <f>SUMIFS(VENTAS!BG:BG,VENTAS!AJ:AJ,W22,VENTAS!BF:BF,"SI")+SUMIFS(VENTAS!BH:BH,VENTAS!AL:AL,W22,VENTAS!BF:BF,"SI")+SUMIFS(VENTAS!BI:BI,VENTAS!AN:AN,W22,VENTAS!BF:BF,"SI")</f>
        <v>0</v>
      </c>
      <c r="S22" s="1108"/>
      <c r="T22" s="1108"/>
      <c r="U22" s="1108"/>
      <c r="V22" s="1108"/>
      <c r="W22" s="72" t="s">
        <v>903</v>
      </c>
      <c r="X22" s="53" t="s">
        <v>770</v>
      </c>
      <c r="Y22" s="135">
        <f>SUMIFS(VENTAS!AK:AK,VENTAS!AJ:AJ,W22,VENTAS!BF:BF,"SI")+SUMIFS(VENTAS!AM:AM,VENTAS!AL:AL,W22,VENTAS!BF:BF,"SI")+SUMIFS(VENTAS!AO:AO,VENTAS!AN:AN,W22,VENTAS!BF:BF,"SI")</f>
        <v>0</v>
      </c>
      <c r="Z22" s="1109">
        <f t="shared" si="1"/>
        <v>0</v>
      </c>
      <c r="AA22" s="1110"/>
      <c r="AB22" s="1110"/>
      <c r="AC22" s="1110"/>
      <c r="AD22" s="1111"/>
      <c r="AE22" s="1147"/>
      <c r="AF22" s="1148"/>
      <c r="AG22" s="1148"/>
      <c r="AH22" s="1148"/>
      <c r="AI22" s="1148"/>
      <c r="AJ22" s="1148"/>
      <c r="AK22" s="1149"/>
    </row>
    <row r="23" spans="1:40" s="75" customFormat="1" ht="18.75" customHeight="1" x14ac:dyDescent="0.35">
      <c r="A23" s="42" t="s">
        <v>2018</v>
      </c>
      <c r="B23" s="15"/>
      <c r="C23" s="15"/>
      <c r="D23" s="15"/>
      <c r="E23" s="15"/>
      <c r="F23" s="15"/>
      <c r="G23" s="15"/>
      <c r="H23" s="15"/>
      <c r="I23" s="15"/>
      <c r="J23" s="15"/>
      <c r="K23" s="15"/>
      <c r="L23" s="15"/>
      <c r="M23" s="15"/>
      <c r="N23" s="15"/>
      <c r="O23" s="15"/>
      <c r="P23" s="72" t="s">
        <v>902</v>
      </c>
      <c r="Q23" s="53" t="s">
        <v>770</v>
      </c>
      <c r="R23" s="1108">
        <f>SUMIFS(VENTAS!BG:BG,VENTAS!AJ:AJ,W23,VENTAS!BF:BF,"SI")+SUMIFS(VENTAS!BH:BH,VENTAS!AL:AL,W23,VENTAS!BF:BF,"SI")+SUMIFS(VENTAS!BI:BI,VENTAS!AN:AN,W23,VENTAS!BF:BF,"SI")+SUMIFS(EXPORTACIONES!AN:AN,EXPORTACIONES!AG:AG,W23,EXPORTACIONES!AM:AM,"SI")+SUMIFS(EXPORTACIONES!AO:AO,EXPORTACIONES!AI:AI,W23,EXPORTACIONES!AM:AM,"SI")</f>
        <v>0</v>
      </c>
      <c r="S23" s="1108"/>
      <c r="T23" s="1108"/>
      <c r="U23" s="1108"/>
      <c r="V23" s="1108"/>
      <c r="W23" s="72" t="s">
        <v>901</v>
      </c>
      <c r="X23" s="53" t="s">
        <v>770</v>
      </c>
      <c r="Y23" s="135">
        <f>SUMIFS(VENTAS!AK:AK,VENTAS!AJ:AJ,W23,VENTAS!BF:BF,"SI")+SUMIFS(VENTAS!AM:AM,VENTAS!AL:AL,W23,VENTAS!BF:BF,"SI")+SUMIFS(VENTAS!AO:AO,VENTAS!AN:AN,W23,VENTAS!BF:BF,"SI")+SUMIFS(EXPORTACIONES!AH:AH,EXPORTACIONES!AG:AG,W23,EXPORTACIONES!AM:AM,"SI")+SUMIFS(EXPORTACIONES!AJ:AJ,EXPORTACIONES!AI:AI,W23,EXPORTACIONES!AM:AM,"SI")</f>
        <v>0</v>
      </c>
      <c r="Z23" s="1109">
        <f t="shared" si="1"/>
        <v>0</v>
      </c>
      <c r="AA23" s="1110"/>
      <c r="AB23" s="1110"/>
      <c r="AC23" s="1110"/>
      <c r="AD23" s="1111"/>
      <c r="AE23" s="1147"/>
      <c r="AF23" s="1148"/>
      <c r="AG23" s="1148"/>
      <c r="AH23" s="1148"/>
      <c r="AI23" s="1148"/>
      <c r="AJ23" s="1148"/>
      <c r="AK23" s="1149"/>
    </row>
    <row r="24" spans="1:40" s="75" customFormat="1" ht="18.75" customHeight="1" thickBot="1" x14ac:dyDescent="0.4">
      <c r="A24" s="42" t="s">
        <v>2019</v>
      </c>
      <c r="B24" s="15"/>
      <c r="C24" s="15"/>
      <c r="D24" s="15"/>
      <c r="E24" s="15"/>
      <c r="F24" s="15"/>
      <c r="G24" s="15"/>
      <c r="H24" s="15"/>
      <c r="I24" s="15"/>
      <c r="J24" s="15"/>
      <c r="K24" s="15"/>
      <c r="L24" s="15"/>
      <c r="M24" s="15"/>
      <c r="N24" s="15"/>
      <c r="O24" s="15"/>
      <c r="P24" s="72" t="s">
        <v>900</v>
      </c>
      <c r="Q24" s="51" t="s">
        <v>770</v>
      </c>
      <c r="R24" s="1108">
        <f>SUMIFS(VENTAS!BG:BG,VENTAS!AJ:AJ,W24,VENTAS!BF:BF,"SI")+SUMIFS(VENTAS!BH:BH,VENTAS!AL:AL,W24,VENTAS!BF:BF,"SI")+SUMIFS(VENTAS!BI:BI,VENTAS!AN:AN,W24,VENTAS!BF:BF,"SI")+SUMIFS(EXPORTACIONES!AN:AN,EXPORTACIONES!AG:AG,W24,EXPORTACIONES!AM:AM,"SI")+SUMIFS(EXPORTACIONES!AO:AO,EXPORTACIONES!AI:AI,W24,EXPORTACIONES!AM:AM,"SI")</f>
        <v>0</v>
      </c>
      <c r="S24" s="1108"/>
      <c r="T24" s="1108"/>
      <c r="U24" s="1108"/>
      <c r="V24" s="1108"/>
      <c r="W24" s="72" t="s">
        <v>899</v>
      </c>
      <c r="X24" s="51" t="s">
        <v>770</v>
      </c>
      <c r="Y24" s="135">
        <f>SUMIFS(VENTAS!AK:AK,VENTAS!AJ:AJ,W24,VENTAS!BF:BF,"SI")+SUMIFS(VENTAS!AM:AM,VENTAS!AL:AL,W24,VENTAS!BF:BF,"SI")+SUMIFS(VENTAS!AO:AO,VENTAS!AN:AN,W24,VENTAS!BF:BF,"SI")+SUMIFS(EXPORTACIONES!AH:AH,EXPORTACIONES!AG:AG,W24,EXPORTACIONES!AM:AM,"SI")+SUMIFS(EXPORTACIONES!AJ:AJ,EXPORTACIONES!AI:AI,W24,EXPORTACIONES!AM:AM,"SI")</f>
        <v>0</v>
      </c>
      <c r="Z24" s="1134">
        <f t="shared" si="1"/>
        <v>0</v>
      </c>
      <c r="AA24" s="1135"/>
      <c r="AB24" s="1135"/>
      <c r="AC24" s="1135"/>
      <c r="AD24" s="1136"/>
      <c r="AE24" s="1150"/>
      <c r="AF24" s="1151"/>
      <c r="AG24" s="1151"/>
      <c r="AH24" s="1151"/>
      <c r="AI24" s="1151"/>
      <c r="AJ24" s="1151"/>
      <c r="AK24" s="1152"/>
    </row>
    <row r="25" spans="1:40" s="75" customFormat="1" ht="18.75" customHeight="1" thickBot="1" x14ac:dyDescent="0.4">
      <c r="A25" s="64" t="s">
        <v>898</v>
      </c>
      <c r="B25" s="33"/>
      <c r="C25" s="33"/>
      <c r="D25" s="33"/>
      <c r="E25" s="33"/>
      <c r="F25" s="33"/>
      <c r="G25" s="33"/>
      <c r="H25" s="33"/>
      <c r="I25" s="33"/>
      <c r="J25" s="33"/>
      <c r="K25" s="33"/>
      <c r="L25" s="33"/>
      <c r="M25" s="33"/>
      <c r="N25" s="33"/>
      <c r="O25" s="78"/>
      <c r="P25" s="143" t="s">
        <v>897</v>
      </c>
      <c r="Q25" s="58" t="s">
        <v>768</v>
      </c>
      <c r="R25" s="1131">
        <f>SUM(R13:V24)</f>
        <v>0</v>
      </c>
      <c r="S25" s="1132"/>
      <c r="T25" s="1132"/>
      <c r="U25" s="1132"/>
      <c r="V25" s="1175"/>
      <c r="W25" s="143" t="s">
        <v>896</v>
      </c>
      <c r="X25" s="58" t="s">
        <v>768</v>
      </c>
      <c r="Y25" s="132">
        <f>+Z25+X26+X27+X28+X29</f>
        <v>0</v>
      </c>
      <c r="Z25" s="1131">
        <f>SUM(Z13:AD24)</f>
        <v>0</v>
      </c>
      <c r="AA25" s="1132"/>
      <c r="AB25" s="1132"/>
      <c r="AC25" s="1132"/>
      <c r="AD25" s="1133"/>
      <c r="AE25" s="59" t="s">
        <v>895</v>
      </c>
      <c r="AF25" s="58" t="s">
        <v>768</v>
      </c>
      <c r="AG25" s="1131">
        <f>IF((SUM(AG13:AK17)-AG18)&gt;0,(SUM(AG13:AK17)-AG18),0)</f>
        <v>0</v>
      </c>
      <c r="AH25" s="1132"/>
      <c r="AI25" s="1132"/>
      <c r="AJ25" s="1132"/>
      <c r="AK25" s="1175"/>
    </row>
    <row r="26" spans="1:40" ht="18.75" customHeight="1" x14ac:dyDescent="0.35">
      <c r="A26" s="129" t="s">
        <v>2023</v>
      </c>
      <c r="B26" s="43"/>
      <c r="C26" s="43"/>
      <c r="D26" s="43"/>
      <c r="E26" s="43"/>
      <c r="F26" s="44"/>
      <c r="G26" s="43"/>
      <c r="H26" s="43"/>
      <c r="I26" s="43"/>
      <c r="J26" s="43"/>
      <c r="K26" s="43"/>
      <c r="L26" s="43"/>
      <c r="M26" s="43"/>
      <c r="N26" s="43"/>
      <c r="O26" s="142"/>
      <c r="P26" s="72" t="s">
        <v>894</v>
      </c>
      <c r="Q26" s="53" t="s">
        <v>770</v>
      </c>
      <c r="R26" s="1108">
        <f>SUMIFS(VENTAS!BG:BG,VENTAS!AJ:AJ,W26,VENTAS!BF:BF,"SI")+SUMIFS(VENTAS!BH:BH,VENTAS!AL:AL,W26,VENTAS!BF:BF,"SI")+SUMIFS(VENTAS!BI:BI,VENTAS!AN:AN,W26,VENTAS!BF:BF,"SI")</f>
        <v>0</v>
      </c>
      <c r="S26" s="1108"/>
      <c r="T26" s="1108"/>
      <c r="U26" s="1108"/>
      <c r="V26" s="1108"/>
      <c r="W26" s="40" t="s">
        <v>893</v>
      </c>
      <c r="X26" s="1123">
        <f>SUMIFS(VENTAS!AK:AK,VENTAS!AJ:AJ,W26,VENTAS!BF:BF,"SI")+SUMIFS(VENTAS!AM:AM,VENTAS!AL:AL,W26,VENTAS!BF:BF,"SI")+SUMIFS(VENTAS!AO:AO,VENTAS!AN:AN,W26,VENTAS!BF:BF,"SI")</f>
        <v>0</v>
      </c>
      <c r="Y26" s="1124"/>
      <c r="Z26" s="1124"/>
      <c r="AA26" s="1124"/>
      <c r="AB26" s="1124"/>
      <c r="AC26" s="1124"/>
      <c r="AD26" s="1153"/>
      <c r="AE26" s="1140" t="s">
        <v>750</v>
      </c>
      <c r="AF26" s="1141"/>
      <c r="AG26" s="1141"/>
      <c r="AH26" s="1141"/>
      <c r="AI26" s="1141"/>
      <c r="AJ26" s="1141"/>
      <c r="AK26" s="1142"/>
    </row>
    <row r="27" spans="1:40" ht="18.75" customHeight="1" x14ac:dyDescent="0.35">
      <c r="A27" s="131" t="s">
        <v>2024</v>
      </c>
      <c r="B27" s="15"/>
      <c r="C27" s="15"/>
      <c r="D27" s="15"/>
      <c r="E27" s="15"/>
      <c r="F27" s="41"/>
      <c r="G27" s="15"/>
      <c r="H27" s="15"/>
      <c r="I27" s="15"/>
      <c r="J27" s="15"/>
      <c r="K27" s="15"/>
      <c r="L27" s="15"/>
      <c r="M27" s="15"/>
      <c r="N27" s="15"/>
      <c r="O27" s="15"/>
      <c r="P27" s="1113"/>
      <c r="Q27" s="1114"/>
      <c r="R27" s="1114"/>
      <c r="S27" s="1114"/>
      <c r="T27" s="1114"/>
      <c r="U27" s="1114"/>
      <c r="V27" s="1115"/>
      <c r="W27" s="72" t="s">
        <v>892</v>
      </c>
      <c r="X27" s="1109">
        <f>IF(Y19&lt;0,ABS(Y19),0)+IF(Y20&lt;0,ABS(Y20),0)+IF(Y21&lt;0,ABS(Y21),0)+IF(Y22&lt;0,ABS(Y22),0)+IF(Y23&lt;0,ABS(Y23),0)+IF(Y24&lt;0,ABS(Y24),0)</f>
        <v>0</v>
      </c>
      <c r="Y27" s="1110"/>
      <c r="Z27" s="1110"/>
      <c r="AA27" s="1110"/>
      <c r="AB27" s="1110"/>
      <c r="AC27" s="1110"/>
      <c r="AD27" s="1111"/>
      <c r="AE27" s="1116"/>
      <c r="AF27" s="1117"/>
      <c r="AG27" s="1117"/>
      <c r="AH27" s="1117"/>
      <c r="AI27" s="1117"/>
      <c r="AJ27" s="1117"/>
      <c r="AK27" s="1143"/>
    </row>
    <row r="28" spans="1:40" ht="18.75" customHeight="1" x14ac:dyDescent="0.35">
      <c r="A28" s="131" t="s">
        <v>2025</v>
      </c>
      <c r="B28" s="15"/>
      <c r="C28" s="15"/>
      <c r="D28" s="15"/>
      <c r="E28" s="15"/>
      <c r="F28" s="41"/>
      <c r="G28" s="15"/>
      <c r="H28" s="15"/>
      <c r="I28" s="15"/>
      <c r="J28" s="15"/>
      <c r="K28" s="15"/>
      <c r="L28" s="15"/>
      <c r="M28" s="15"/>
      <c r="N28" s="15"/>
      <c r="O28" s="15"/>
      <c r="P28" s="1116"/>
      <c r="Q28" s="1117"/>
      <c r="R28" s="1117"/>
      <c r="S28" s="1117"/>
      <c r="T28" s="1117"/>
      <c r="U28" s="1117"/>
      <c r="V28" s="1118"/>
      <c r="W28" s="40" t="s">
        <v>891</v>
      </c>
      <c r="X28" s="1108">
        <f>IF(Y13&lt;0,ABS(Y13),0)+IF(Y14&lt;0,ABS(Y14),0)+IF(Y15&lt;0,ABS(Y15),0)</f>
        <v>0</v>
      </c>
      <c r="Y28" s="1108"/>
      <c r="Z28" s="1108"/>
      <c r="AA28" s="1108"/>
      <c r="AB28" s="1108"/>
      <c r="AC28" s="1108"/>
      <c r="AD28" s="1108"/>
      <c r="AE28" s="72" t="s">
        <v>890</v>
      </c>
      <c r="AF28" s="1224">
        <f>IF(X28&gt;0,ABS(AF29-SUMIF(VENTAS!BF:BF,"SI",VENTAS!R:R)+SUMIF(VENTAS!BF:BF,"SI",VENTAS!U:U)+SUMIF(VENTAS!BF:BF,"SI",VENTAS!X:X)),0)</f>
        <v>0</v>
      </c>
      <c r="AG28" s="1225"/>
      <c r="AH28" s="1225"/>
      <c r="AI28" s="1225"/>
      <c r="AJ28" s="1225"/>
      <c r="AK28" s="1226"/>
    </row>
    <row r="29" spans="1:40" ht="18.75" customHeight="1" x14ac:dyDescent="0.35">
      <c r="A29" s="131" t="s">
        <v>2026</v>
      </c>
      <c r="B29" s="15"/>
      <c r="C29" s="15"/>
      <c r="D29" s="15"/>
      <c r="E29" s="15"/>
      <c r="F29" s="41"/>
      <c r="G29" s="15"/>
      <c r="H29" s="15"/>
      <c r="I29" s="15"/>
      <c r="J29" s="15"/>
      <c r="K29" s="15"/>
      <c r="L29" s="15"/>
      <c r="M29" s="15"/>
      <c r="N29" s="15"/>
      <c r="O29" s="130"/>
      <c r="P29" s="72" t="s">
        <v>889</v>
      </c>
      <c r="Q29" s="53" t="s">
        <v>770</v>
      </c>
      <c r="R29" s="1108">
        <f>SUMIFS(VENTAS!BG:BG,VENTAS!AJ:AJ,W29,VENTAS!BF:BF,"SI")+SUMIFS(VENTAS!BH:BH,VENTAS!AL:AL,W29,VENTAS!BF:BF,"SI")+SUMIFS(VENTAS!BI:BI,VENTAS!AN:AN,W29,VENTAS!BF:BF,"SI")</f>
        <v>0</v>
      </c>
      <c r="S29" s="1108"/>
      <c r="T29" s="1108"/>
      <c r="U29" s="1108"/>
      <c r="V29" s="1108"/>
      <c r="W29" s="72" t="s">
        <v>888</v>
      </c>
      <c r="X29" s="1137">
        <f>SUMIFS(VENTAS!AK:AK,VENTAS!AJ:AJ,W29,VENTAS!BF:BF,"SI")+SUMIFS(VENTAS!AM:AM,VENTAS!AL:AL,W29,VENTAS!BF:BF,"SI")+SUMIFS(VENTAS!AO:AO,VENTAS!AN:AN,W29,VENTAS!BF:BF,"SI")</f>
        <v>0</v>
      </c>
      <c r="Y29" s="1138"/>
      <c r="Z29" s="1138"/>
      <c r="AA29" s="1138"/>
      <c r="AB29" s="1138"/>
      <c r="AC29" s="1138"/>
      <c r="AD29" s="1139"/>
      <c r="AE29" s="273" t="s">
        <v>887</v>
      </c>
      <c r="AF29" s="1167">
        <f>SUMIFS(VENTAS!R:R,VENTAS!AJ:AJ,W29,VENTAS!BF:BF,"SI")+SUMIFS(VENTAS!R:R,VENTAS!AL:AL,W29,VENTAS!BF:BF,"SI")+SUMIFS(VENTAS!R:R,VENTAS!AN:AN,W29,VENTAS!BF:BF,"SI")+SUMIFS(VENTAS!U:U,VENTAS!AJ:AJ,W29,VENTAS!BF:BF,"SI")+SUMIFS(VENTAS!U:U,VENTAS!AL:AL,W29,VENTAS!BF:BF,"SI")+SUMIFS(VENTAS!U:U,VENTAS!AN:AN,W29,VENTAS!BF:BF,"SI")+SUMIFS(VENTAS!X:X,VENTAS!AJ:AJ,W29,VENTAS!BF:BF,"SI")+SUMIFS(VENTAS!X:X,VENTAS!AL:AL,W29,VENTAS!BF:BF,"SI")+SUMIFS(VENTAS!X:X,VENTAS!AN:AN,W29,VENTAS!BF:BF,"SI")</f>
        <v>0</v>
      </c>
      <c r="AG29" s="1110"/>
      <c r="AH29" s="1110"/>
      <c r="AI29" s="1110"/>
      <c r="AJ29" s="1110"/>
      <c r="AK29" s="1112"/>
    </row>
    <row r="30" spans="1:40" ht="8.25" customHeight="1" thickBot="1" x14ac:dyDescent="0.4">
      <c r="A30" s="124"/>
      <c r="B30" s="123"/>
      <c r="C30" s="123"/>
      <c r="D30" s="123"/>
      <c r="E30" s="123"/>
      <c r="F30" s="123"/>
      <c r="G30" s="123"/>
      <c r="H30" s="123"/>
      <c r="I30" s="123"/>
      <c r="J30" s="123"/>
      <c r="K30" s="123"/>
      <c r="L30" s="123"/>
      <c r="M30" s="123"/>
      <c r="N30" s="123"/>
      <c r="O30" s="123"/>
      <c r="P30" s="123"/>
      <c r="Q30" s="123"/>
      <c r="R30" s="123"/>
      <c r="S30" s="123"/>
      <c r="T30" s="123"/>
      <c r="U30" s="123"/>
      <c r="V30" s="123"/>
      <c r="W30" s="123"/>
      <c r="X30" s="123"/>
      <c r="Y30" s="123"/>
      <c r="Z30" s="123"/>
      <c r="AA30" s="123"/>
      <c r="AB30" s="123"/>
      <c r="AC30" s="123"/>
      <c r="AD30" s="123"/>
      <c r="AE30" s="123"/>
      <c r="AF30" s="123"/>
      <c r="AG30" s="123"/>
      <c r="AH30" s="123"/>
      <c r="AI30" s="123"/>
      <c r="AJ30" s="123"/>
      <c r="AK30" s="138"/>
    </row>
    <row r="31" spans="1:40" ht="19.5" customHeight="1" thickBot="1" x14ac:dyDescent="0.4">
      <c r="A31" s="114" t="s">
        <v>1258</v>
      </c>
      <c r="B31" s="137"/>
      <c r="C31" s="137"/>
      <c r="D31" s="137"/>
      <c r="E31" s="137"/>
      <c r="F31" s="50"/>
      <c r="G31" s="137"/>
      <c r="H31" s="137"/>
      <c r="I31" s="137"/>
      <c r="J31" s="137"/>
      <c r="K31" s="137"/>
      <c r="L31" s="137"/>
      <c r="M31" s="137"/>
      <c r="N31" s="137"/>
      <c r="O31" s="137"/>
      <c r="P31" s="137"/>
      <c r="Q31" s="137"/>
      <c r="R31" s="137"/>
      <c r="S31" s="137"/>
      <c r="T31" s="137"/>
      <c r="U31" s="137"/>
      <c r="V31" s="137"/>
      <c r="W31" s="137"/>
      <c r="X31" s="137"/>
      <c r="Y31" s="137"/>
      <c r="Z31" s="137"/>
      <c r="AA31" s="137"/>
      <c r="AB31" s="137"/>
      <c r="AC31" s="137"/>
      <c r="AD31" s="137"/>
      <c r="AE31" s="137"/>
      <c r="AF31" s="137"/>
      <c r="AG31" s="137"/>
      <c r="AH31" s="137"/>
      <c r="AI31" s="137"/>
      <c r="AJ31" s="137"/>
      <c r="AK31" s="141"/>
    </row>
    <row r="32" spans="1:40" ht="8.25" customHeight="1" x14ac:dyDescent="0.35">
      <c r="A32" s="23"/>
      <c r="AK32" s="19"/>
    </row>
    <row r="33" spans="1:40" ht="58.5" customHeight="1" x14ac:dyDescent="0.35">
      <c r="A33" s="1223" t="s">
        <v>886</v>
      </c>
      <c r="B33" s="1162"/>
      <c r="C33" s="1162"/>
      <c r="D33" s="1162"/>
      <c r="E33" s="1163"/>
      <c r="F33" s="1161" t="s">
        <v>885</v>
      </c>
      <c r="G33" s="1162"/>
      <c r="H33" s="1162"/>
      <c r="I33" s="1162"/>
      <c r="J33" s="1163"/>
      <c r="K33" s="1161" t="s">
        <v>884</v>
      </c>
      <c r="L33" s="1162"/>
      <c r="M33" s="1162"/>
      <c r="N33" s="1162"/>
      <c r="O33" s="1163"/>
      <c r="P33" s="1161" t="s">
        <v>883</v>
      </c>
      <c r="Q33" s="1220"/>
      <c r="R33" s="1220"/>
      <c r="S33" s="1220"/>
      <c r="T33" s="1220"/>
      <c r="U33" s="1221"/>
      <c r="V33" s="1161" t="s">
        <v>1519</v>
      </c>
      <c r="W33" s="1162"/>
      <c r="X33" s="1162"/>
      <c r="Y33" s="1162"/>
      <c r="Z33" s="1162"/>
      <c r="AA33" s="1163"/>
      <c r="AB33" s="1161" t="s">
        <v>882</v>
      </c>
      <c r="AC33" s="1162"/>
      <c r="AD33" s="1162"/>
      <c r="AE33" s="1162"/>
      <c r="AF33" s="1163"/>
      <c r="AG33" s="1161" t="s">
        <v>881</v>
      </c>
      <c r="AH33" s="1220"/>
      <c r="AI33" s="1220"/>
      <c r="AJ33" s="1220"/>
      <c r="AK33" s="1222"/>
    </row>
    <row r="34" spans="1:40" s="139" customFormat="1" ht="18.75" customHeight="1" x14ac:dyDescent="0.35">
      <c r="A34" s="140">
        <v>480</v>
      </c>
      <c r="B34" s="1164">
        <f>+(Z13+Z14)-G34</f>
        <v>0</v>
      </c>
      <c r="C34" s="1165"/>
      <c r="D34" s="1165"/>
      <c r="E34" s="1166"/>
      <c r="F34" s="140" t="s">
        <v>880</v>
      </c>
      <c r="G34" s="1217">
        <v>0</v>
      </c>
      <c r="H34" s="1218"/>
      <c r="I34" s="1218"/>
      <c r="J34" s="1219"/>
      <c r="K34" s="40" t="s">
        <v>879</v>
      </c>
      <c r="L34" s="1164">
        <f>+AG25</f>
        <v>0</v>
      </c>
      <c r="M34" s="1165"/>
      <c r="N34" s="1165"/>
      <c r="O34" s="1168"/>
      <c r="P34" s="40" t="s">
        <v>878</v>
      </c>
      <c r="Q34" s="1217">
        <v>0</v>
      </c>
      <c r="R34" s="1218"/>
      <c r="S34" s="1218"/>
      <c r="T34" s="1218"/>
      <c r="U34" s="1219"/>
      <c r="V34" s="40" t="s">
        <v>877</v>
      </c>
      <c r="W34" s="1207">
        <f>ROUND(B34*15%,2)</f>
        <v>0</v>
      </c>
      <c r="X34" s="1207"/>
      <c r="Y34" s="1207"/>
      <c r="Z34" s="1207"/>
      <c r="AA34" s="1207"/>
      <c r="AB34" s="40" t="s">
        <v>876</v>
      </c>
      <c r="AC34" s="1207">
        <f>+L34-W34</f>
        <v>0</v>
      </c>
      <c r="AD34" s="1207"/>
      <c r="AE34" s="1207"/>
      <c r="AF34" s="1207"/>
      <c r="AG34" s="40" t="s">
        <v>875</v>
      </c>
      <c r="AH34" s="1207">
        <f>+Q34+W34</f>
        <v>0</v>
      </c>
      <c r="AI34" s="1207"/>
      <c r="AJ34" s="1207"/>
      <c r="AK34" s="1208"/>
    </row>
    <row r="35" spans="1:40" ht="8.25" customHeight="1" x14ac:dyDescent="0.35">
      <c r="A35" s="23"/>
      <c r="AK35" s="19"/>
    </row>
    <row r="36" spans="1:40" ht="20.5" customHeight="1" x14ac:dyDescent="0.35">
      <c r="A36" s="1160" t="s">
        <v>1235</v>
      </c>
      <c r="B36" s="1158"/>
      <c r="C36" s="1158"/>
      <c r="D36" s="1158"/>
      <c r="E36" s="1158"/>
      <c r="F36" s="1158"/>
      <c r="G36" s="1158"/>
      <c r="H36" s="1158"/>
      <c r="I36" s="1158"/>
      <c r="J36" s="1159"/>
      <c r="K36" s="72" t="s">
        <v>1233</v>
      </c>
      <c r="L36" s="1154">
        <f>COUNTIFS(VENTAS!BF:BF,"SI",VENTAS!H:H,"18-Documentos autorizados utilizados en ventas excepto N/C N/D")</f>
        <v>3</v>
      </c>
      <c r="M36" s="1155"/>
      <c r="N36" s="1155"/>
      <c r="O36" s="1156"/>
      <c r="P36" s="1157" t="s">
        <v>1236</v>
      </c>
      <c r="Q36" s="1158"/>
      <c r="R36" s="1158"/>
      <c r="S36" s="1158"/>
      <c r="T36" s="1158"/>
      <c r="U36" s="1158"/>
      <c r="V36" s="1158"/>
      <c r="W36" s="1158"/>
      <c r="X36" s="1158"/>
      <c r="Y36" s="1158"/>
      <c r="Z36" s="1158"/>
      <c r="AA36" s="1159"/>
      <c r="AB36" s="72" t="s">
        <v>1234</v>
      </c>
      <c r="AC36" s="1154">
        <f>IF(COUNTIFS(ANULADOS!I:I,"SI",ANULADOS!A:A,"01-Factura")&gt;0,COUNTIFS(ANULADOS!I:I,"SI",ANULADOS!A:A,"01-Factura"),COUNTIFS(VENTAS!BF:BF,"SI",VENTAS!H:H,"00-Comprobante de ventas anulado"))</f>
        <v>0</v>
      </c>
      <c r="AD36" s="1155"/>
      <c r="AE36" s="1155"/>
      <c r="AF36" s="1156"/>
      <c r="AG36" s="319"/>
      <c r="AK36" s="19"/>
    </row>
    <row r="37" spans="1:40" ht="8.25" customHeight="1" thickBot="1" x14ac:dyDescent="0.4">
      <c r="A37" s="124"/>
      <c r="B37" s="123"/>
      <c r="C37" s="123"/>
      <c r="D37" s="123"/>
      <c r="E37" s="123"/>
      <c r="F37" s="123"/>
      <c r="G37" s="123"/>
      <c r="H37" s="123"/>
      <c r="I37" s="123"/>
      <c r="J37" s="123"/>
      <c r="K37" s="123"/>
      <c r="L37" s="123"/>
      <c r="M37" s="123"/>
      <c r="N37" s="123"/>
      <c r="O37" s="123"/>
      <c r="P37" s="123"/>
      <c r="Q37" s="123"/>
      <c r="R37" s="123"/>
      <c r="S37" s="123"/>
      <c r="T37" s="123"/>
      <c r="U37" s="123"/>
      <c r="V37" s="123"/>
      <c r="W37" s="123"/>
      <c r="X37" s="123"/>
      <c r="Y37" s="123"/>
      <c r="Z37" s="123"/>
      <c r="AA37" s="123"/>
      <c r="AB37" s="123"/>
      <c r="AC37" s="123"/>
      <c r="AD37" s="123"/>
      <c r="AE37" s="123"/>
      <c r="AF37" s="123"/>
      <c r="AG37" s="123"/>
      <c r="AH37" s="123"/>
      <c r="AI37" s="123"/>
      <c r="AJ37" s="123"/>
      <c r="AK37" s="138"/>
    </row>
    <row r="38" spans="1:40" ht="19.5" customHeight="1" thickBot="1" x14ac:dyDescent="0.4">
      <c r="A38" s="114" t="s">
        <v>874</v>
      </c>
      <c r="B38" s="137"/>
      <c r="C38" s="137"/>
      <c r="D38" s="137"/>
      <c r="E38" s="137"/>
      <c r="F38" s="50"/>
      <c r="G38" s="137"/>
      <c r="H38" s="137"/>
      <c r="I38" s="137"/>
      <c r="J38" s="137"/>
      <c r="K38" s="137"/>
      <c r="L38" s="137"/>
      <c r="M38" s="137"/>
      <c r="N38" s="137"/>
      <c r="O38" s="137"/>
      <c r="P38" s="1066" t="s">
        <v>873</v>
      </c>
      <c r="Q38" s="1067"/>
      <c r="R38" s="1067"/>
      <c r="S38" s="1067"/>
      <c r="T38" s="1067"/>
      <c r="U38" s="1067"/>
      <c r="V38" s="1068"/>
      <c r="W38" s="1066" t="s">
        <v>872</v>
      </c>
      <c r="X38" s="1067"/>
      <c r="Y38" s="1067"/>
      <c r="Z38" s="1067"/>
      <c r="AA38" s="1067"/>
      <c r="AB38" s="1067"/>
      <c r="AC38" s="1067"/>
      <c r="AD38" s="1068"/>
      <c r="AE38" s="1066" t="s">
        <v>871</v>
      </c>
      <c r="AF38" s="1067"/>
      <c r="AG38" s="1067"/>
      <c r="AH38" s="1067"/>
      <c r="AI38" s="1067"/>
      <c r="AJ38" s="1067"/>
      <c r="AK38" s="1068"/>
    </row>
    <row r="39" spans="1:40" ht="18.75" customHeight="1" x14ac:dyDescent="0.35">
      <c r="A39" s="575" t="s">
        <v>2030</v>
      </c>
      <c r="B39" s="571"/>
      <c r="C39" s="571"/>
      <c r="D39" s="571"/>
      <c r="E39" s="571"/>
      <c r="F39" s="571"/>
      <c r="G39" s="571"/>
      <c r="H39" s="571"/>
      <c r="I39" s="571"/>
      <c r="J39" s="571"/>
      <c r="K39" s="571"/>
      <c r="L39" s="571"/>
      <c r="M39" s="571"/>
      <c r="N39" s="571"/>
      <c r="O39" s="572"/>
      <c r="P39" s="40" t="s">
        <v>870</v>
      </c>
      <c r="Q39" s="74" t="s">
        <v>770</v>
      </c>
      <c r="R39" s="1120">
        <f>SUMIFS(COMPRAS!DE:DE,COMPRAS!AS:AS,W39,COMPRAS!DC:DC,"SI")+SUMIFS(COMPRAS!DF:DF,COMPRAS!AU:AU,W39,COMPRAS!DC:DC,"SI")+SUMIFS(COMPRAS!DG:DG,COMPRAS!AW:AW,W39,COMPRAS!DC:DC,"SI")</f>
        <v>0</v>
      </c>
      <c r="S39" s="1121"/>
      <c r="T39" s="1121"/>
      <c r="U39" s="1121"/>
      <c r="V39" s="1122"/>
      <c r="W39" s="40" t="s">
        <v>869</v>
      </c>
      <c r="X39" s="74" t="s">
        <v>770</v>
      </c>
      <c r="Y39" s="135">
        <f>SUMIFS(COMPRAS!AT:AT,COMPRAS!AS:AS,W39,COMPRAS!DC:DC,"SI")+SUMIFS(COMPRAS!AV:AV,COMPRAS!AU:AU,W39,COMPRAS!DC:DC,"SI")+SUMIFS(COMPRAS!AX:AX,COMPRAS!AW:AW,W39,COMPRAS!DC:DC,"SI")</f>
        <v>0</v>
      </c>
      <c r="Z39" s="1123">
        <f t="shared" ref="Z39:Z46" si="2">IF(Y39&lt;0,0,Y39)</f>
        <v>0</v>
      </c>
      <c r="AA39" s="1124"/>
      <c r="AB39" s="1124"/>
      <c r="AC39" s="1124"/>
      <c r="AD39" s="1153"/>
      <c r="AE39" s="72" t="s">
        <v>868</v>
      </c>
      <c r="AF39" s="53" t="s">
        <v>770</v>
      </c>
      <c r="AG39" s="1123">
        <f>IF(Z39&gt;0,SUMIFS(COMPRAS!Z:Z,COMPRAS!AS:AS,W39,COMPRAS!DC:DC,"SI")+SUMIFS(COMPRAS!Z:Z,COMPRAS!AU:AU,W39,COMPRAS!DC:DC,"SI")+SUMIFS(COMPRAS!Z:Z,COMPRAS!AW:AW,W39,COMPRAS!DC:DC,"SI"),0)</f>
        <v>0</v>
      </c>
      <c r="AH39" s="1124"/>
      <c r="AI39" s="1124"/>
      <c r="AJ39" s="1124"/>
      <c r="AK39" s="1125"/>
      <c r="AL39" s="136"/>
      <c r="AN39" s="136"/>
    </row>
    <row r="40" spans="1:40" ht="18.75" customHeight="1" x14ac:dyDescent="0.35">
      <c r="A40" s="575" t="s">
        <v>2031</v>
      </c>
      <c r="B40" s="573"/>
      <c r="C40" s="573"/>
      <c r="D40" s="573"/>
      <c r="E40" s="573"/>
      <c r="F40" s="573"/>
      <c r="G40" s="573"/>
      <c r="H40" s="573"/>
      <c r="I40" s="573"/>
      <c r="J40" s="573"/>
      <c r="K40" s="573"/>
      <c r="L40" s="573"/>
      <c r="M40" s="573"/>
      <c r="N40" s="573"/>
      <c r="O40" s="574"/>
      <c r="P40" s="72" t="s">
        <v>867</v>
      </c>
      <c r="Q40" s="53" t="s">
        <v>770</v>
      </c>
      <c r="R40" s="1108">
        <f>SUMIFS(COMPRAS!DE:DE,COMPRAS!AS:AS,W40,COMPRAS!DC:DC,"SI")+SUMIFS(COMPRAS!DF:DF,COMPRAS!AU:AU,W40,COMPRAS!DC:DC,"SI")+SUMIFS(COMPRAS!DG:DG,COMPRAS!AW:AW,W40,COMPRAS!DC:DC,"SI")</f>
        <v>0</v>
      </c>
      <c r="S40" s="1108"/>
      <c r="T40" s="1108"/>
      <c r="U40" s="1108"/>
      <c r="V40" s="1108"/>
      <c r="W40" s="72" t="s">
        <v>866</v>
      </c>
      <c r="X40" s="53" t="s">
        <v>770</v>
      </c>
      <c r="Y40" s="135">
        <f>SUMIFS(COMPRAS!AT:AT,COMPRAS!AS:AS,W40,COMPRAS!DC:DC,"SI")+SUMIFS(COMPRAS!AV:AV,COMPRAS!AU:AU,W40,COMPRAS!DC:DC,"SI")+SUMIFS(COMPRAS!AX:AX,COMPRAS!AW:AW,W40,COMPRAS!DC:DC,"SI")</f>
        <v>0</v>
      </c>
      <c r="Z40" s="1109">
        <f t="shared" si="2"/>
        <v>0</v>
      </c>
      <c r="AA40" s="1110"/>
      <c r="AB40" s="1110"/>
      <c r="AC40" s="1110"/>
      <c r="AD40" s="1111"/>
      <c r="AE40" s="72" t="s">
        <v>865</v>
      </c>
      <c r="AF40" s="53" t="s">
        <v>770</v>
      </c>
      <c r="AG40" s="1109">
        <f>IF(Z40&gt;0,SUMIFS(COMPRAS!Z:Z,COMPRAS!AS:AS,W40,COMPRAS!DC:DC,"SI")+SUMIFS(COMPRAS!Z:Z,COMPRAS!AU:AU,W40,COMPRAS!DC:DC,"SI")+SUMIFS(COMPRAS!Z:Z,COMPRAS!AW:AW,W40,COMPRAS!DC:DC,"SI"),0)</f>
        <v>0</v>
      </c>
      <c r="AH40" s="1110"/>
      <c r="AI40" s="1110"/>
      <c r="AJ40" s="1110"/>
      <c r="AK40" s="1112"/>
      <c r="AL40" s="136"/>
    </row>
    <row r="41" spans="1:40" ht="18.75" customHeight="1" x14ac:dyDescent="0.35">
      <c r="A41" s="575" t="s">
        <v>2288</v>
      </c>
      <c r="B41" s="573"/>
      <c r="C41" s="573"/>
      <c r="D41" s="573"/>
      <c r="E41" s="573"/>
      <c r="F41" s="573"/>
      <c r="G41" s="573"/>
      <c r="H41" s="573"/>
      <c r="I41" s="573"/>
      <c r="J41" s="573"/>
      <c r="K41" s="573"/>
      <c r="L41" s="573"/>
      <c r="M41" s="573"/>
      <c r="N41" s="573"/>
      <c r="O41" s="574"/>
      <c r="P41" s="72" t="s">
        <v>2027</v>
      </c>
      <c r="Q41" s="53" t="s">
        <v>770</v>
      </c>
      <c r="R41" s="1108">
        <f>SUMIFS(COMPRAS!DE:DE,COMPRAS!AS:AS,W41,COMPRAS!DC:DC,"SI")+SUMIFS(COMPRAS!DF:DF,COMPRAS!AU:AU,W41,COMPRAS!DC:DC,"SI")+SUMIFS(COMPRAS!DG:DG,COMPRAS!AW:AW,W41,COMPRAS!DC:DC,"SI")</f>
        <v>0</v>
      </c>
      <c r="S41" s="1108"/>
      <c r="T41" s="1108"/>
      <c r="U41" s="1108"/>
      <c r="V41" s="1108"/>
      <c r="W41" s="72" t="s">
        <v>2028</v>
      </c>
      <c r="X41" s="53" t="s">
        <v>770</v>
      </c>
      <c r="Y41" s="135">
        <f>SUMIFS(COMPRAS!AT:AT,COMPRAS!AS:AS,W41,COMPRAS!DC:DC,"SI")+SUMIFS(COMPRAS!AV:AV,COMPRAS!AU:AU,W41,COMPRAS!DC:DC,"SI")+SUMIFS(COMPRAS!AX:AX,COMPRAS!AW:AW,W41,COMPRAS!DC:DC,"SI")</f>
        <v>0</v>
      </c>
      <c r="Z41" s="1109">
        <f t="shared" ref="Z41" si="3">IF(Y41&lt;0,0,Y41)</f>
        <v>0</v>
      </c>
      <c r="AA41" s="1110"/>
      <c r="AB41" s="1110"/>
      <c r="AC41" s="1110"/>
      <c r="AD41" s="1111"/>
      <c r="AE41" s="72" t="s">
        <v>2029</v>
      </c>
      <c r="AF41" s="53" t="s">
        <v>770</v>
      </c>
      <c r="AG41" s="1109">
        <f>IF(Z41&gt;0,SUMIFS(COMPRAS!AF:AF,COMPRAS!AS:AS,W41,COMPRAS!DC:DC,"SI")+SUMIFS(COMPRAS!AF:AF,COMPRAS!AU:AU,W41,COMPRAS!DC:DC,"SI")+SUMIFS(COMPRAS!AF:AF,COMPRAS!AW:AW,W41,COMPRAS!DC:DC,"SI"),0)</f>
        <v>0</v>
      </c>
      <c r="AH41" s="1110"/>
      <c r="AI41" s="1110"/>
      <c r="AJ41" s="1110"/>
      <c r="AK41" s="1112"/>
      <c r="AL41" s="136"/>
    </row>
    <row r="42" spans="1:40" ht="18.75" customHeight="1" x14ac:dyDescent="0.35">
      <c r="A42" s="575" t="s">
        <v>2275</v>
      </c>
      <c r="B42" s="573"/>
      <c r="C42" s="573"/>
      <c r="D42" s="573"/>
      <c r="E42" s="573"/>
      <c r="F42" s="573"/>
      <c r="G42" s="573"/>
      <c r="H42" s="573"/>
      <c r="I42" s="573"/>
      <c r="J42" s="573"/>
      <c r="K42" s="573"/>
      <c r="L42" s="573"/>
      <c r="M42" s="573"/>
      <c r="N42" s="573"/>
      <c r="O42" s="574"/>
      <c r="P42" s="72" t="s">
        <v>2241</v>
      </c>
      <c r="Q42" s="53" t="s">
        <v>770</v>
      </c>
      <c r="R42" s="1108">
        <f>SUMIFS(COMPRAS!DE:DE,COMPRAS!AS:AS,W42,COMPRAS!DC:DC,"SI")+SUMIFS(COMPRAS!DF:DF,COMPRAS!AU:AU,W42,COMPRAS!DC:DC,"SI")+SUMIFS(COMPRAS!DG:DG,COMPRAS!AW:AW,W42,COMPRAS!DC:DC,"SI")</f>
        <v>0</v>
      </c>
      <c r="S42" s="1108"/>
      <c r="T42" s="1108"/>
      <c r="U42" s="1108"/>
      <c r="V42" s="1108"/>
      <c r="W42" s="72" t="s">
        <v>2242</v>
      </c>
      <c r="X42" s="53" t="s">
        <v>770</v>
      </c>
      <c r="Y42" s="135">
        <f>SUMIFS(COMPRAS!AT:AT,COMPRAS!AS:AS,W42,COMPRAS!DC:DC,"SI")+SUMIFS(COMPRAS!AV:AV,COMPRAS!AU:AU,W42,COMPRAS!DC:DC,"SI")+SUMIFS(COMPRAS!AX:AX,COMPRAS!AW:AW,W42,COMPRAS!DC:DC,"SI")</f>
        <v>0</v>
      </c>
      <c r="Z42" s="1109">
        <f t="shared" ref="Z42" si="4">IF(Y42&lt;0,0,Y42)</f>
        <v>0</v>
      </c>
      <c r="AA42" s="1110"/>
      <c r="AB42" s="1110"/>
      <c r="AC42" s="1110"/>
      <c r="AD42" s="1111"/>
      <c r="AE42" s="72" t="s">
        <v>2243</v>
      </c>
      <c r="AF42" s="53" t="s">
        <v>770</v>
      </c>
      <c r="AG42" s="1109">
        <f>IF(Z42&gt;0,SUMIFS(COMPRAS!AC:AC,COMPRAS!AS:AS,W42,COMPRAS!DC:DC,"SI")+SUMIFS(COMPRAS!AC:AC,COMPRAS!AU:AU,W42,COMPRAS!DC:DC,"SI")+SUMIFS(COMPRAS!AC:AC,COMPRAS!AW:AW,W42,COMPRAS!DC:DC,"SI"),0)</f>
        <v>0</v>
      </c>
      <c r="AH42" s="1110"/>
      <c r="AI42" s="1110"/>
      <c r="AJ42" s="1110"/>
      <c r="AK42" s="1112"/>
      <c r="AL42" s="136"/>
    </row>
    <row r="43" spans="1:40" ht="18.75" customHeight="1" x14ac:dyDescent="0.35">
      <c r="A43" s="575" t="s">
        <v>2032</v>
      </c>
      <c r="B43" s="576"/>
      <c r="C43" s="576"/>
      <c r="D43" s="576"/>
      <c r="E43" s="576"/>
      <c r="F43" s="576"/>
      <c r="G43" s="576"/>
      <c r="H43" s="576"/>
      <c r="I43" s="576"/>
      <c r="J43" s="576"/>
      <c r="K43" s="576"/>
      <c r="L43" s="576"/>
      <c r="M43" s="576"/>
      <c r="N43" s="576"/>
      <c r="O43" s="577"/>
      <c r="P43" s="40" t="s">
        <v>864</v>
      </c>
      <c r="Q43" s="53" t="s">
        <v>770</v>
      </c>
      <c r="R43" s="1108">
        <f>SUMIFS(COMPRAS!DE:DE,COMPRAS!AS:AS,W43,COMPRAS!DC:DC,"SI")+SUMIFS(COMPRAS!DF:DF,COMPRAS!AU:AU,W43,COMPRAS!DC:DC,"SI")+SUMIFS(COMPRAS!DG:DG,COMPRAS!AW:AW,W43,COMPRAS!DC:DC,"SI")</f>
        <v>0</v>
      </c>
      <c r="S43" s="1108"/>
      <c r="T43" s="1108"/>
      <c r="U43" s="1108"/>
      <c r="V43" s="1108"/>
      <c r="W43" s="40" t="s">
        <v>863</v>
      </c>
      <c r="X43" s="53" t="s">
        <v>770</v>
      </c>
      <c r="Y43" s="135">
        <f>SUMIFS(COMPRAS!AT:AT,COMPRAS!AS:AS,W43,COMPRAS!DC:DC,"SI")+SUMIFS(COMPRAS!AV:AV,COMPRAS!AU:AU,W43,COMPRAS!DC:DC,"SI")+SUMIFS(COMPRAS!AX:AX,COMPRAS!AW:AW,W43,COMPRAS!DC:DC,"SI")</f>
        <v>0</v>
      </c>
      <c r="Z43" s="1109">
        <f t="shared" si="2"/>
        <v>0</v>
      </c>
      <c r="AA43" s="1110"/>
      <c r="AB43" s="1110"/>
      <c r="AC43" s="1110"/>
      <c r="AD43" s="1111"/>
      <c r="AE43" s="72" t="s">
        <v>862</v>
      </c>
      <c r="AF43" s="53" t="s">
        <v>770</v>
      </c>
      <c r="AG43" s="1109">
        <f>IF(Z43&gt;0,SUMIFS(COMPRAS!DJ:DJ,COMPRAS!AS:AS,W43,COMPRAS!DC:DC,"SI")+SUMIFS(COMPRAS!DJ:DJ,COMPRAS!AU:AU,W43,COMPRAS!DC:DC,"SI")+SUMIFS(COMPRAS!DJ:DJ,COMPRAS!AW:AW,W43,COMPRAS!DC:DC,"SI"),0)</f>
        <v>0</v>
      </c>
      <c r="AH43" s="1110"/>
      <c r="AI43" s="1110"/>
      <c r="AJ43" s="1110"/>
      <c r="AK43" s="1112"/>
      <c r="AL43" s="95"/>
    </row>
    <row r="44" spans="1:40" ht="18.75" customHeight="1" x14ac:dyDescent="0.35">
      <c r="A44" s="575" t="s">
        <v>2033</v>
      </c>
      <c r="B44" s="576"/>
      <c r="C44" s="576"/>
      <c r="D44" s="576"/>
      <c r="E44" s="576"/>
      <c r="F44" s="576"/>
      <c r="G44" s="576"/>
      <c r="H44" s="576"/>
      <c r="I44" s="576"/>
      <c r="J44" s="576"/>
      <c r="K44" s="576"/>
      <c r="L44" s="576"/>
      <c r="M44" s="576"/>
      <c r="N44" s="576"/>
      <c r="O44" s="577"/>
      <c r="P44" s="72" t="s">
        <v>861</v>
      </c>
      <c r="Q44" s="53" t="s">
        <v>770</v>
      </c>
      <c r="R44" s="1108">
        <f>SUMIFS(COMPRAS!DE:DE,COMPRAS!AS:AS,W44,COMPRAS!DC:DC,"SI")+SUMIFS(COMPRAS!DF:DF,COMPRAS!AU:AU,W44,COMPRAS!DC:DC,"SI")+SUMIFS(COMPRAS!DG:DG,COMPRAS!AW:AW,W44,COMPRAS!DC:DC,"SI")</f>
        <v>0</v>
      </c>
      <c r="S44" s="1108"/>
      <c r="T44" s="1108"/>
      <c r="U44" s="1108"/>
      <c r="V44" s="1108"/>
      <c r="W44" s="72" t="s">
        <v>860</v>
      </c>
      <c r="X44" s="53" t="s">
        <v>770</v>
      </c>
      <c r="Y44" s="135">
        <f>SUMIFS(COMPRAS!AT:AT,COMPRAS!AS:AS,W44,COMPRAS!DC:DC,"SI")+SUMIFS(COMPRAS!AV:AV,COMPRAS!AU:AU,W44,COMPRAS!DC:DC,"SI")+SUMIFS(COMPRAS!AX:AX,COMPRAS!AW:AW,W44,COMPRAS!DC:DC,"SI")</f>
        <v>0</v>
      </c>
      <c r="Z44" s="1109">
        <f t="shared" si="2"/>
        <v>0</v>
      </c>
      <c r="AA44" s="1110"/>
      <c r="AB44" s="1110"/>
      <c r="AC44" s="1110"/>
      <c r="AD44" s="1111"/>
      <c r="AE44" s="72" t="s">
        <v>859</v>
      </c>
      <c r="AF44" s="53" t="s">
        <v>770</v>
      </c>
      <c r="AG44" s="1109">
        <f>IF(Z44&gt;0,SUMIFS(COMPRAS!Z:Z,COMPRAS!AS:AS,W44,COMPRAS!DC:DC,"SI")+SUMIFS(COMPRAS!Z:Z,COMPRAS!AU:AU,W44,COMPRAS!DC:DC,"SI")+SUMIFS(COMPRAS!Z:Z,COMPRAS!AW:AW,W44,COMPRAS!DC:DC,"SI"),0)</f>
        <v>0</v>
      </c>
      <c r="AH44" s="1110"/>
      <c r="AI44" s="1110"/>
      <c r="AJ44" s="1110"/>
      <c r="AK44" s="1112"/>
      <c r="AL44" s="95"/>
    </row>
    <row r="45" spans="1:40" ht="18.75" customHeight="1" x14ac:dyDescent="0.35">
      <c r="A45" s="575" t="s">
        <v>2034</v>
      </c>
      <c r="B45" s="576"/>
      <c r="C45" s="576"/>
      <c r="D45" s="576"/>
      <c r="E45" s="576"/>
      <c r="F45" s="576"/>
      <c r="G45" s="576"/>
      <c r="H45" s="576"/>
      <c r="I45" s="576"/>
      <c r="J45" s="576"/>
      <c r="K45" s="576"/>
      <c r="L45" s="576"/>
      <c r="M45" s="576"/>
      <c r="N45" s="576"/>
      <c r="O45" s="577"/>
      <c r="P45" s="72" t="s">
        <v>858</v>
      </c>
      <c r="Q45" s="53" t="s">
        <v>770</v>
      </c>
      <c r="R45" s="1108">
        <f>SUMIFS(COMPRAS!DE:DE,COMPRAS!AS:AS,W45,COMPRAS!DC:DC,"SI")+SUMIFS(COMPRAS!DF:DF,COMPRAS!AU:AU,W45,COMPRAS!DC:DC,"SI")+SUMIFS(COMPRAS!DG:DG,COMPRAS!AW:AW,W45,COMPRAS!DC:DC,"SI")</f>
        <v>0</v>
      </c>
      <c r="S45" s="1108"/>
      <c r="T45" s="1108"/>
      <c r="U45" s="1108"/>
      <c r="V45" s="1108"/>
      <c r="W45" s="72" t="s">
        <v>857</v>
      </c>
      <c r="X45" s="53" t="s">
        <v>770</v>
      </c>
      <c r="Y45" s="135">
        <f>SUMIFS(COMPRAS!AT:AT,COMPRAS!AS:AS,W45,COMPRAS!DC:DC,"SI")+SUMIFS(COMPRAS!AV:AV,COMPRAS!AU:AU,W45,COMPRAS!DC:DC,"SI")+SUMIFS(COMPRAS!AX:AX,COMPRAS!AW:AW,W45,COMPRAS!DC:DC,"SI")</f>
        <v>0</v>
      </c>
      <c r="Z45" s="1109">
        <f t="shared" si="2"/>
        <v>0</v>
      </c>
      <c r="AA45" s="1110"/>
      <c r="AB45" s="1110"/>
      <c r="AC45" s="1110"/>
      <c r="AD45" s="1111"/>
      <c r="AE45" s="72" t="s">
        <v>856</v>
      </c>
      <c r="AF45" s="53" t="s">
        <v>770</v>
      </c>
      <c r="AG45" s="1109">
        <f>IF(Z45&gt;0,SUMIFS(COMPRAS!Z:Z,COMPRAS!AS:AS,W45,COMPRAS!DC:DC,"SI")+SUMIFS(COMPRAS!Z:Z,COMPRAS!AU:AU,W45,COMPRAS!DC:DC,"SI")+SUMIFS(COMPRAS!Z:Z,COMPRAS!AW:AW,W45,COMPRAS!DC:DC,"SI"),0)</f>
        <v>0</v>
      </c>
      <c r="AH45" s="1110"/>
      <c r="AI45" s="1110"/>
      <c r="AJ45" s="1110"/>
      <c r="AK45" s="1112"/>
      <c r="AL45" s="95"/>
    </row>
    <row r="46" spans="1:40" ht="18.75" customHeight="1" x14ac:dyDescent="0.35">
      <c r="A46" s="131" t="s">
        <v>2035</v>
      </c>
      <c r="B46" s="76"/>
      <c r="C46" s="76"/>
      <c r="D46" s="76"/>
      <c r="E46" s="76"/>
      <c r="F46" s="76"/>
      <c r="G46" s="76"/>
      <c r="H46" s="76"/>
      <c r="I46" s="76"/>
      <c r="J46" s="76"/>
      <c r="K46" s="76"/>
      <c r="L46" s="76"/>
      <c r="M46" s="76"/>
      <c r="N46" s="76"/>
      <c r="O46" s="134"/>
      <c r="P46" s="40" t="s">
        <v>855</v>
      </c>
      <c r="Q46" s="74" t="s">
        <v>770</v>
      </c>
      <c r="R46" s="1108">
        <f>SUMIFS(COMPRAS!DE:DE,COMPRAS!AS:AS,W46,COMPRAS!DC:DC,"SI")+SUMIFS(COMPRAS!DF:DF,COMPRAS!AU:AU,W46,COMPRAS!DC:DC,"SI")+SUMIFS(COMPRAS!DG:DG,COMPRAS!AW:AW,W46,COMPRAS!DC:DC,"SI")</f>
        <v>0</v>
      </c>
      <c r="S46" s="1108"/>
      <c r="T46" s="1108"/>
      <c r="U46" s="1108"/>
      <c r="V46" s="1108"/>
      <c r="W46" s="40" t="s">
        <v>854</v>
      </c>
      <c r="X46" s="74" t="s">
        <v>770</v>
      </c>
      <c r="Y46" s="135">
        <f>SUMIFS(COMPRAS!AT:AT,COMPRAS!AS:AS,W46,COMPRAS!DC:DC,"SI")+SUMIFS(COMPRAS!AV:AV,COMPRAS!AU:AU,W46,COMPRAS!DC:DC,"SI")+SUMIFS(COMPRAS!AX:AX,COMPRAS!AW:AW,W46,COMPRAS!DC:DC,"SI")</f>
        <v>0</v>
      </c>
      <c r="Z46" s="1109">
        <f t="shared" si="2"/>
        <v>0</v>
      </c>
      <c r="AA46" s="1110"/>
      <c r="AB46" s="1110"/>
      <c r="AC46" s="1110"/>
      <c r="AD46" s="1111"/>
      <c r="AE46" s="72" t="s">
        <v>853</v>
      </c>
      <c r="AF46" s="53" t="s">
        <v>770</v>
      </c>
      <c r="AG46" s="1137">
        <f>IF(Z46&gt;0,SUMIFS(COMPRAS!Z:Z,COMPRAS!AS:AS,W46,COMPRAS!DC:DC,"SI")+SUMIFS(COMPRAS!Z:Z,COMPRAS!AU:AU,W46,COMPRAS!DC:DC,"SI")+SUMIFS(COMPRAS!Z:Z,COMPRAS!AW:AW,W46,COMPRAS!DC:DC,"SI"),0)</f>
        <v>0</v>
      </c>
      <c r="AH46" s="1138"/>
      <c r="AI46" s="1138"/>
      <c r="AJ46" s="1138"/>
      <c r="AK46" s="1236"/>
      <c r="AL46" s="95"/>
    </row>
    <row r="47" spans="1:40" ht="18.649999999999999" customHeight="1" x14ac:dyDescent="0.35">
      <c r="A47" s="41" t="s">
        <v>2036</v>
      </c>
      <c r="B47" s="15"/>
      <c r="C47" s="15"/>
      <c r="D47" s="15"/>
      <c r="E47" s="15"/>
      <c r="F47" s="15"/>
      <c r="G47" s="15"/>
      <c r="H47" s="15"/>
      <c r="I47" s="15"/>
      <c r="J47" s="15"/>
      <c r="K47" s="15"/>
      <c r="L47" s="15"/>
      <c r="M47" s="15"/>
      <c r="N47" s="15"/>
      <c r="O47" s="130"/>
      <c r="P47" s="128"/>
      <c r="Q47" s="127"/>
      <c r="R47" s="127"/>
      <c r="S47" s="127"/>
      <c r="T47" s="127"/>
      <c r="U47" s="127"/>
      <c r="V47" s="126"/>
      <c r="W47" s="128"/>
      <c r="X47" s="127"/>
      <c r="Y47" s="127"/>
      <c r="Z47" s="127"/>
      <c r="AA47" s="127"/>
      <c r="AB47" s="127"/>
      <c r="AC47" s="127"/>
      <c r="AD47" s="126"/>
      <c r="AE47" s="36" t="s">
        <v>852</v>
      </c>
      <c r="AF47" s="51" t="s">
        <v>770</v>
      </c>
      <c r="AG47" s="1169">
        <v>0</v>
      </c>
      <c r="AH47" s="1170"/>
      <c r="AI47" s="1170"/>
      <c r="AJ47" s="1170"/>
      <c r="AK47" s="1171"/>
      <c r="AL47" s="75"/>
    </row>
    <row r="48" spans="1:40" ht="17.5" x14ac:dyDescent="0.35">
      <c r="A48" s="41" t="s">
        <v>2037</v>
      </c>
      <c r="B48" s="15"/>
      <c r="C48" s="15"/>
      <c r="D48" s="15"/>
      <c r="E48" s="15"/>
      <c r="F48" s="15"/>
      <c r="G48" s="15"/>
      <c r="H48" s="15"/>
      <c r="I48" s="15"/>
      <c r="J48" s="15"/>
      <c r="K48" s="15"/>
      <c r="L48" s="15"/>
      <c r="M48" s="15"/>
      <c r="N48" s="15"/>
      <c r="O48" s="130"/>
      <c r="P48" s="128"/>
      <c r="Q48" s="127"/>
      <c r="R48" s="127"/>
      <c r="S48" s="127"/>
      <c r="T48" s="127"/>
      <c r="U48" s="127"/>
      <c r="V48" s="126"/>
      <c r="W48" s="128"/>
      <c r="X48" s="127"/>
      <c r="Y48" s="127"/>
      <c r="Z48" s="127"/>
      <c r="AA48" s="127"/>
      <c r="AB48" s="127"/>
      <c r="AC48" s="127"/>
      <c r="AD48" s="126"/>
      <c r="AE48" s="36" t="s">
        <v>1039</v>
      </c>
      <c r="AF48" s="51" t="s">
        <v>770</v>
      </c>
      <c r="AG48" s="1169">
        <v>0</v>
      </c>
      <c r="AH48" s="1170"/>
      <c r="AI48" s="1170"/>
      <c r="AJ48" s="1170"/>
      <c r="AK48" s="1171"/>
    </row>
    <row r="49" spans="1:38" ht="18.75" customHeight="1" x14ac:dyDescent="0.35">
      <c r="A49" s="131" t="s">
        <v>2038</v>
      </c>
      <c r="B49" s="76"/>
      <c r="C49" s="76"/>
      <c r="D49" s="76"/>
      <c r="E49" s="76"/>
      <c r="F49" s="76"/>
      <c r="G49" s="76"/>
      <c r="H49" s="76"/>
      <c r="I49" s="76"/>
      <c r="J49" s="76"/>
      <c r="K49" s="76"/>
      <c r="L49" s="76"/>
      <c r="M49" s="76"/>
      <c r="N49" s="76"/>
      <c r="O49" s="134"/>
      <c r="P49" s="72" t="s">
        <v>851</v>
      </c>
      <c r="Q49" s="53" t="s">
        <v>770</v>
      </c>
      <c r="R49" s="1108">
        <f>SUMIFS(COMPRAS!DE:DE,COMPRAS!AS:AS,W49,COMPRAS!DC:DC,"SI")+SUMIFS(COMPRAS!DF:DF,COMPRAS!AU:AU,W49,COMPRAS!DC:DC,"SI")+SUMIFS(COMPRAS!DG:DG,COMPRAS!AW:AW,W49,COMPRAS!DC:DC,"SI")</f>
        <v>0</v>
      </c>
      <c r="S49" s="1108"/>
      <c r="T49" s="1108"/>
      <c r="U49" s="1108"/>
      <c r="V49" s="1108"/>
      <c r="W49" s="72" t="s">
        <v>850</v>
      </c>
      <c r="X49" s="53" t="s">
        <v>770</v>
      </c>
      <c r="Y49" s="280">
        <f>SUMIFS(COMPRAS!AT:AT,COMPRAS!AS:AS,W49,COMPRAS!DC:DC,"SI")+SUMIFS(COMPRAS!AV:AV,COMPRAS!AU:AU,W49,COMPRAS!DC:DC,"SI")+SUMIFS(COMPRAS!AX:AX,COMPRAS!AW:AW,W49,COMPRAS!DC:DC,"SI")</f>
        <v>0</v>
      </c>
      <c r="Z49" s="1109">
        <f>IF(Y49&lt;0,0,Y49)</f>
        <v>0</v>
      </c>
      <c r="AA49" s="1110"/>
      <c r="AB49" s="1110"/>
      <c r="AC49" s="1110"/>
      <c r="AD49" s="1111"/>
      <c r="AE49" s="1144" t="s">
        <v>750</v>
      </c>
      <c r="AF49" s="1145"/>
      <c r="AG49" s="1145"/>
      <c r="AH49" s="1145"/>
      <c r="AI49" s="1145"/>
      <c r="AJ49" s="1145"/>
      <c r="AK49" s="1146"/>
    </row>
    <row r="50" spans="1:38" ht="18.75" customHeight="1" x14ac:dyDescent="0.35">
      <c r="A50" s="129" t="s">
        <v>2039</v>
      </c>
      <c r="B50" s="76"/>
      <c r="C50" s="76"/>
      <c r="D50" s="76"/>
      <c r="E50" s="76"/>
      <c r="F50" s="76"/>
      <c r="G50" s="76"/>
      <c r="H50" s="76"/>
      <c r="I50" s="76"/>
      <c r="J50" s="76"/>
      <c r="K50" s="76"/>
      <c r="L50" s="76"/>
      <c r="M50" s="76"/>
      <c r="N50" s="76"/>
      <c r="O50" s="134"/>
      <c r="P50" s="40" t="s">
        <v>849</v>
      </c>
      <c r="Q50" s="53" t="s">
        <v>770</v>
      </c>
      <c r="R50" s="1108">
        <f>SUMIFS(COMPRAS!DE:DE,COMPRAS!AS:AS,W50,COMPRAS!DC:DC,"SI")+SUMIFS(COMPRAS!DF:DF,COMPRAS!AU:AU,W50,COMPRAS!DC:DC,"SI")+SUMIFS(COMPRAS!DG:DG,COMPRAS!AW:AW,W50,COMPRAS!DC:DC,"SI")</f>
        <v>0</v>
      </c>
      <c r="S50" s="1108"/>
      <c r="T50" s="1108"/>
      <c r="U50" s="1108"/>
      <c r="V50" s="1108"/>
      <c r="W50" s="40" t="s">
        <v>848</v>
      </c>
      <c r="X50" s="53" t="s">
        <v>770</v>
      </c>
      <c r="Y50" s="280">
        <f>SUMIFS(COMPRAS!AT:AT,COMPRAS!AS:AS,W50,COMPRAS!DC:DC,"SI")+SUMIFS(COMPRAS!AV:AV,COMPRAS!AU:AU,W50,COMPRAS!DC:DC,"SI")+SUMIFS(COMPRAS!AX:AX,COMPRAS!AW:AW,W50,COMPRAS!DC:DC,"SI")</f>
        <v>0</v>
      </c>
      <c r="Z50" s="1109">
        <f>IF(Y50&lt;0,0,Y50)</f>
        <v>0</v>
      </c>
      <c r="AA50" s="1110"/>
      <c r="AB50" s="1110"/>
      <c r="AC50" s="1110"/>
      <c r="AD50" s="1111"/>
      <c r="AE50" s="1147"/>
      <c r="AF50" s="1148"/>
      <c r="AG50" s="1148"/>
      <c r="AH50" s="1148"/>
      <c r="AI50" s="1148"/>
      <c r="AJ50" s="1148"/>
      <c r="AK50" s="1149"/>
    </row>
    <row r="51" spans="1:38" ht="18.75" customHeight="1" thickBot="1" x14ac:dyDescent="0.4">
      <c r="A51" s="131" t="s">
        <v>2040</v>
      </c>
      <c r="B51" s="15"/>
      <c r="C51" s="15"/>
      <c r="D51" s="15"/>
      <c r="E51" s="15"/>
      <c r="F51" s="41"/>
      <c r="G51" s="15"/>
      <c r="H51" s="15"/>
      <c r="I51" s="15"/>
      <c r="J51" s="15"/>
      <c r="K51" s="15"/>
      <c r="L51" s="15"/>
      <c r="M51" s="15"/>
      <c r="N51" s="15"/>
      <c r="O51" s="130"/>
      <c r="P51" s="40" t="s">
        <v>847</v>
      </c>
      <c r="Q51" s="53" t="s">
        <v>770</v>
      </c>
      <c r="R51" s="1245">
        <f>SUMIFS(COMPRAS!DE:DE,COMPRAS!AS:AS,W51,COMPRAS!DC:DC,"SI")+SUMIFS(COMPRAS!DF:DF,COMPRAS!AU:AU,W51,COMPRAS!DC:DC,"SI")+SUMIFS(COMPRAS!DG:DG,COMPRAS!AW:AW,W51,COMPRAS!DC:DC,"SI")</f>
        <v>0</v>
      </c>
      <c r="S51" s="1246"/>
      <c r="T51" s="1246"/>
      <c r="U51" s="1246"/>
      <c r="V51" s="1247"/>
      <c r="W51" s="72" t="s">
        <v>846</v>
      </c>
      <c r="X51" s="74" t="s">
        <v>770</v>
      </c>
      <c r="Y51" s="135">
        <f>SUMIFS(COMPRAS!AT:AT,COMPRAS!AS:AS,W51,COMPRAS!DC:DC,"SI")+SUMIFS(COMPRAS!AV:AV,COMPRAS!AU:AU,W51,COMPRAS!DC:DC,"SI")+SUMIFS(COMPRAS!AX:AX,COMPRAS!AW:AW,W51,COMPRAS!DC:DC,"SI")</f>
        <v>0</v>
      </c>
      <c r="Z51" s="1134">
        <f>IF(Y51&lt;0,0,Y51)</f>
        <v>0</v>
      </c>
      <c r="AA51" s="1135"/>
      <c r="AB51" s="1135"/>
      <c r="AC51" s="1135"/>
      <c r="AD51" s="1136"/>
      <c r="AE51" s="1150"/>
      <c r="AF51" s="1151"/>
      <c r="AG51" s="1151"/>
      <c r="AH51" s="1151"/>
      <c r="AI51" s="1151"/>
      <c r="AJ51" s="1151"/>
      <c r="AK51" s="1152"/>
    </row>
    <row r="52" spans="1:38" ht="18.75" customHeight="1" thickBot="1" x14ac:dyDescent="0.4">
      <c r="A52" s="71" t="s">
        <v>845</v>
      </c>
      <c r="B52" s="33"/>
      <c r="C52" s="33"/>
      <c r="D52" s="33"/>
      <c r="E52" s="33"/>
      <c r="F52" s="34"/>
      <c r="G52" s="33"/>
      <c r="H52" s="33"/>
      <c r="I52" s="33"/>
      <c r="J52" s="33"/>
      <c r="K52" s="33"/>
      <c r="L52" s="33"/>
      <c r="M52" s="33"/>
      <c r="N52" s="33"/>
      <c r="O52" s="133"/>
      <c r="P52" s="59" t="s">
        <v>844</v>
      </c>
      <c r="Q52" s="281" t="s">
        <v>768</v>
      </c>
      <c r="R52" s="1241">
        <f>SUM(R39:V51)</f>
        <v>0</v>
      </c>
      <c r="S52" s="1132"/>
      <c r="T52" s="1132"/>
      <c r="U52" s="1132"/>
      <c r="V52" s="1175"/>
      <c r="W52" s="282" t="s">
        <v>843</v>
      </c>
      <c r="X52" s="58" t="s">
        <v>768</v>
      </c>
      <c r="Y52" s="132">
        <f>+Z52+X53+X55+X56+X57</f>
        <v>0</v>
      </c>
      <c r="Z52" s="1131">
        <f>SUM(Z39:AD51)</f>
        <v>0</v>
      </c>
      <c r="AA52" s="1132"/>
      <c r="AB52" s="1132"/>
      <c r="AC52" s="1132"/>
      <c r="AD52" s="1133"/>
      <c r="AE52" s="59" t="s">
        <v>842</v>
      </c>
      <c r="AF52" s="58" t="s">
        <v>768</v>
      </c>
      <c r="AG52" s="1131">
        <f>IF((SUM(AG39:AK47)-AG48)&gt;0,(SUM(AG39:AK47)-AG48),0)</f>
        <v>0</v>
      </c>
      <c r="AH52" s="1132"/>
      <c r="AI52" s="1132"/>
      <c r="AJ52" s="1132"/>
      <c r="AK52" s="1175"/>
      <c r="AL52" s="136"/>
    </row>
    <row r="53" spans="1:38" ht="18.75" customHeight="1" x14ac:dyDescent="0.35">
      <c r="A53" s="131" t="s">
        <v>2041</v>
      </c>
      <c r="B53" s="15"/>
      <c r="C53" s="15"/>
      <c r="D53" s="15"/>
      <c r="E53" s="15"/>
      <c r="F53" s="15"/>
      <c r="G53" s="15"/>
      <c r="H53" s="15"/>
      <c r="I53" s="15"/>
      <c r="J53" s="15"/>
      <c r="K53" s="15"/>
      <c r="L53" s="15"/>
      <c r="M53" s="15"/>
      <c r="N53" s="15"/>
      <c r="O53" s="130"/>
      <c r="P53" s="40" t="s">
        <v>841</v>
      </c>
      <c r="Q53" s="53" t="s">
        <v>770</v>
      </c>
      <c r="R53" s="1119">
        <f>SUMIFS(COMPRAS!DE:DE,COMPRAS!AS:AS,W53,COMPRAS!DC:DC,"SI")+SUMIFS(COMPRAS!DF:DF,COMPRAS!AU:AU,W53,COMPRAS!DC:DC,"SI")+SUMIFS(COMPRAS!DG:DG,COMPRAS!AW:AW,W53,COMPRAS!DC:DC,"SI")</f>
        <v>0</v>
      </c>
      <c r="S53" s="1119"/>
      <c r="T53" s="1119"/>
      <c r="U53" s="1119"/>
      <c r="V53" s="1119"/>
      <c r="W53" s="40" t="s">
        <v>840</v>
      </c>
      <c r="X53" s="1120">
        <f>SUMIFS(COMPRAS!AT:AT,COMPRAS!AS:AS,W53,COMPRAS!DC:DC,"SI")+SUMIFS(COMPRAS!AV:AV,COMPRAS!AU:AU,W53,COMPRAS!DC:DC,"SI")+SUMIFS(COMPRAS!AX:AX,COMPRAS!AW:AW,W53,COMPRAS!DC:DC,"SI")</f>
        <v>0</v>
      </c>
      <c r="Y53" s="1121"/>
      <c r="Z53" s="1121"/>
      <c r="AA53" s="1121"/>
      <c r="AB53" s="1121"/>
      <c r="AC53" s="1121"/>
      <c r="AD53" s="1122"/>
      <c r="AE53" s="1248" t="s">
        <v>750</v>
      </c>
      <c r="AF53" s="1249"/>
      <c r="AG53" s="1249"/>
      <c r="AH53" s="1249"/>
      <c r="AI53" s="1249"/>
      <c r="AJ53" s="1249"/>
      <c r="AK53" s="1250"/>
    </row>
    <row r="54" spans="1:38" ht="18.75" customHeight="1" x14ac:dyDescent="0.35">
      <c r="A54" s="129" t="s">
        <v>2042</v>
      </c>
      <c r="B54" s="43"/>
      <c r="C54" s="43"/>
      <c r="D54" s="43"/>
      <c r="E54" s="43"/>
      <c r="F54" s="43"/>
      <c r="G54" s="43"/>
      <c r="H54" s="43"/>
      <c r="I54" s="43"/>
      <c r="J54" s="43"/>
      <c r="K54" s="43"/>
      <c r="L54" s="43"/>
      <c r="M54" s="43"/>
      <c r="N54" s="43"/>
      <c r="O54" s="43"/>
      <c r="P54" s="40" t="s">
        <v>839</v>
      </c>
      <c r="Q54" s="53" t="s">
        <v>770</v>
      </c>
      <c r="R54" s="1108">
        <f>SUMIFS(COMPRAS!DE:DE,COMPRAS!AS:AS,W54,COMPRAS!DC:DC,"SI")+SUMIFS(COMPRAS!DF:DF,COMPRAS!AU:AU,W54,COMPRAS!DC:DC,"SI")+SUMIFS(COMPRAS!DG:DG,COMPRAS!AW:AW,W54,COMPRAS!DC:DC,"SI")</f>
        <v>0</v>
      </c>
      <c r="S54" s="1108"/>
      <c r="T54" s="1108"/>
      <c r="U54" s="1108"/>
      <c r="V54" s="1108"/>
      <c r="W54" s="72" t="s">
        <v>838</v>
      </c>
      <c r="X54" s="1108">
        <f>SUMIFS(COMPRAS!AT:AT,COMPRAS!AS:AS,W54,COMPRAS!DC:DC,"SI")+SUMIFS(COMPRAS!AV:AV,COMPRAS!AU:AU,W54,COMPRAS!DC:DC,"SI")+SUMIFS(COMPRAS!AX:AX,COMPRAS!AW:AW,W54,COMPRAS!DC:DC,"SI")</f>
        <v>0</v>
      </c>
      <c r="Y54" s="1108"/>
      <c r="Z54" s="1108"/>
      <c r="AA54" s="1108"/>
      <c r="AB54" s="1108"/>
      <c r="AC54" s="1108"/>
      <c r="AD54" s="1108"/>
      <c r="AE54" s="1147"/>
      <c r="AF54" s="1148"/>
      <c r="AG54" s="1148"/>
      <c r="AH54" s="1148"/>
      <c r="AI54" s="1148"/>
      <c r="AJ54" s="1148"/>
      <c r="AK54" s="1149"/>
    </row>
    <row r="55" spans="1:38" ht="18.75" customHeight="1" x14ac:dyDescent="0.35">
      <c r="A55" s="129" t="s">
        <v>2043</v>
      </c>
      <c r="B55" s="43"/>
      <c r="C55" s="43"/>
      <c r="D55" s="43"/>
      <c r="E55" s="43"/>
      <c r="F55" s="44"/>
      <c r="G55" s="43"/>
      <c r="H55" s="43"/>
      <c r="I55" s="43"/>
      <c r="J55" s="43"/>
      <c r="K55" s="43"/>
      <c r="L55" s="43"/>
      <c r="M55" s="43"/>
      <c r="N55" s="43"/>
      <c r="O55" s="43"/>
      <c r="P55" s="128"/>
      <c r="Q55" s="127"/>
      <c r="R55" s="127"/>
      <c r="S55" s="127"/>
      <c r="T55" s="127"/>
      <c r="U55" s="127"/>
      <c r="V55" s="126"/>
      <c r="W55" s="40" t="s">
        <v>837</v>
      </c>
      <c r="X55" s="1108">
        <f>IF(Y49&lt;0,ABS(Y49),0)+IF(Y50&lt;0,ABS(Y50),0)</f>
        <v>0</v>
      </c>
      <c r="Y55" s="1108"/>
      <c r="Z55" s="1108"/>
      <c r="AA55" s="1108"/>
      <c r="AB55" s="1108"/>
      <c r="AC55" s="1108"/>
      <c r="AD55" s="1108"/>
      <c r="AE55" s="1251"/>
      <c r="AF55" s="1252"/>
      <c r="AG55" s="1252"/>
      <c r="AH55" s="1252"/>
      <c r="AI55" s="1252"/>
      <c r="AJ55" s="1252"/>
      <c r="AK55" s="1253"/>
    </row>
    <row r="56" spans="1:38" ht="18.75" customHeight="1" x14ac:dyDescent="0.35">
      <c r="A56" s="99" t="s">
        <v>2044</v>
      </c>
      <c r="B56" s="15"/>
      <c r="C56" s="15"/>
      <c r="D56" s="15"/>
      <c r="E56" s="15"/>
      <c r="F56" s="41"/>
      <c r="G56" s="15"/>
      <c r="H56" s="15"/>
      <c r="I56" s="15"/>
      <c r="J56" s="15"/>
      <c r="K56" s="15"/>
      <c r="L56" s="15"/>
      <c r="M56" s="15"/>
      <c r="N56" s="15"/>
      <c r="O56" s="15"/>
      <c r="P56" s="128"/>
      <c r="Q56" s="127"/>
      <c r="R56" s="127"/>
      <c r="S56" s="127"/>
      <c r="T56" s="127"/>
      <c r="U56" s="127"/>
      <c r="V56" s="126"/>
      <c r="W56" s="72" t="s">
        <v>836</v>
      </c>
      <c r="X56" s="1108">
        <f>IF(Y39&lt;0,ABS(Y39),0)+IF(Y40&lt;0,ABS(Y40),0)+IF(Y41&lt;0,ABS(Y41),0)+IF(Y42&lt;0,ABS(Y42),0)+IF(Y43&lt;0,ABS(Y43),0)+IF(Y44&lt;0,ABS(Y44),0)+IF(Y45&lt;0,ABS(Y45),0)+IF(Y46&lt;0,ABS(Y46),0)</f>
        <v>0</v>
      </c>
      <c r="Y56" s="1108"/>
      <c r="Z56" s="1108"/>
      <c r="AA56" s="1108"/>
      <c r="AB56" s="1108"/>
      <c r="AC56" s="1108"/>
      <c r="AD56" s="1108"/>
      <c r="AE56" s="72" t="s">
        <v>835</v>
      </c>
      <c r="AF56" s="1224">
        <f>IF(X56&gt;0,ABS(AF57-SUMIF(COMPRAS!DC:DC,"SI",COMPRAS!Z:Z)+SUMIF(COMPRAS!DC:DC,"SI",COMPRAS!AC:AC)+SUMIF(COMPRAS!DC:DC,"SI",COMPRAS!AF:AF)),0)</f>
        <v>0</v>
      </c>
      <c r="AG56" s="1225"/>
      <c r="AH56" s="1225"/>
      <c r="AI56" s="1225"/>
      <c r="AJ56" s="1225"/>
      <c r="AK56" s="1226"/>
    </row>
    <row r="57" spans="1:38" ht="18.75" customHeight="1" thickBot="1" x14ac:dyDescent="0.4">
      <c r="A57" s="125" t="s">
        <v>2045</v>
      </c>
      <c r="B57" s="123"/>
      <c r="C57" s="123"/>
      <c r="D57" s="123"/>
      <c r="E57" s="123"/>
      <c r="F57" s="124"/>
      <c r="G57" s="123"/>
      <c r="H57" s="123"/>
      <c r="I57" s="123"/>
      <c r="J57" s="123"/>
      <c r="K57" s="123"/>
      <c r="L57" s="123"/>
      <c r="M57" s="123"/>
      <c r="N57" s="123"/>
      <c r="O57" s="123"/>
      <c r="P57" s="121" t="s">
        <v>834</v>
      </c>
      <c r="Q57" s="122" t="s">
        <v>770</v>
      </c>
      <c r="R57" s="1237">
        <f>SUMIFS(COMPRAS!DE:DE,COMPRAS!AS:AS,W57,COMPRAS!DC:DC,"SI")+SUMIFS(COMPRAS!DF:DF,COMPRAS!AU:AU,W57,COMPRAS!DC:DC,"SI")+SUMIFS(COMPRAS!DG:DG,COMPRAS!AW:AW,W57,COMPRAS!DC:DC,"SI")</f>
        <v>0</v>
      </c>
      <c r="S57" s="1237"/>
      <c r="T57" s="1237"/>
      <c r="U57" s="1237"/>
      <c r="V57" s="1237"/>
      <c r="W57" s="121" t="s">
        <v>833</v>
      </c>
      <c r="X57" s="1237">
        <f>SUMIFS(COMPRAS!AT:AT,COMPRAS!AS:AS,W57,COMPRAS!DC:DC,"SI")+SUMIFS(COMPRAS!AV:AV,COMPRAS!AU:AU,W57,COMPRAS!DC:DC,"SI")+SUMIFS(COMPRAS!AX:AX,COMPRAS!AW:AW,W57,COMPRAS!DC:DC,"SI")</f>
        <v>0</v>
      </c>
      <c r="Y57" s="1237"/>
      <c r="Z57" s="1237"/>
      <c r="AA57" s="1237"/>
      <c r="AB57" s="1237"/>
      <c r="AC57" s="1237"/>
      <c r="AD57" s="1237"/>
      <c r="AE57" s="274" t="s">
        <v>832</v>
      </c>
      <c r="AF57" s="1242">
        <f>SUMIFS(COMPRAS!Z:Z,COMPRAS!DC:DC,"SI",COMPRAS!AS:AS,W57)+SUMIFS(COMPRAS!Z:Z,COMPRAS!DC:DC,"SI",COMPRAS!AU:AU,W57)+SUMIFS(COMPRAS!Z:Z,COMPRAS!DC:DC,"SI",COMPRAS!AW:AW,W57)+SUMIFS(COMPRAS!AC:AC,COMPRAS!DC:DC,"SI",COMPRAS!AS:AS,W57)+SUMIFS(COMPRAS!AC:AC,COMPRAS!DC:DC,"SI",COMPRAS!AU:AU,W57)+SUMIFS(COMPRAS!AC:AC,COMPRAS!DC:DC,"SI",COMPRAS!AW:AW,W57)+SUMIFS(COMPRAS!AF:AF,COMPRAS!DC:DC,"SI",COMPRAS!AS:AS,W57)+SUMIFS(COMPRAS!AF:AF,COMPRAS!DC:DC,"SI",COMPRAS!AU:AU,W57)+SUMIFS(COMPRAS!AF:AF,COMPRAS!DC:DC,"SI",COMPRAS!AW:AW,W57)</f>
        <v>0</v>
      </c>
      <c r="AG57" s="1243"/>
      <c r="AH57" s="1243"/>
      <c r="AI57" s="1243"/>
      <c r="AJ57" s="1243"/>
      <c r="AK57" s="1244"/>
    </row>
    <row r="58" spans="1:38" ht="8.25" customHeight="1" thickBot="1" x14ac:dyDescent="0.4">
      <c r="A58" s="23"/>
      <c r="AK58" s="19"/>
    </row>
    <row r="59" spans="1:38" ht="18.75" customHeight="1" thickBot="1" x14ac:dyDescent="0.4">
      <c r="A59" s="120" t="s">
        <v>831</v>
      </c>
      <c r="B59" s="118"/>
      <c r="C59" s="118"/>
      <c r="D59" s="118"/>
      <c r="E59" s="118"/>
      <c r="F59" s="119"/>
      <c r="G59" s="118"/>
      <c r="H59" s="118"/>
      <c r="I59" s="118"/>
      <c r="J59" s="118"/>
      <c r="K59" s="118"/>
      <c r="L59" s="118"/>
      <c r="M59" s="118"/>
      <c r="N59" s="118"/>
      <c r="O59" s="118"/>
      <c r="P59" s="118"/>
      <c r="Q59" s="118"/>
      <c r="R59" s="118"/>
      <c r="S59" s="118"/>
      <c r="T59" s="118"/>
      <c r="U59" s="118"/>
      <c r="V59" s="118"/>
      <c r="W59" s="118"/>
      <c r="X59" s="118"/>
      <c r="Y59" s="118"/>
      <c r="Z59" s="118"/>
      <c r="AA59" s="118"/>
      <c r="AB59" s="118"/>
      <c r="AC59" s="118"/>
      <c r="AD59" s="117" t="s">
        <v>2244</v>
      </c>
      <c r="AE59" s="116" t="s">
        <v>830</v>
      </c>
      <c r="AF59" s="1238">
        <f>ROUND((IF(AND(Z25&gt;0,(Z19+Z20)&gt;0),(Z13+Z14+Z15+Z16+Z21+Z22+Z23+Z24)/Z25,IF(Z25&gt;0,1,0))),4)</f>
        <v>0</v>
      </c>
      <c r="AG59" s="1239"/>
      <c r="AH59" s="1239"/>
      <c r="AI59" s="1239"/>
      <c r="AJ59" s="1239"/>
      <c r="AK59" s="1240"/>
    </row>
    <row r="60" spans="1:38" ht="18.75" customHeight="1" thickBot="1" x14ac:dyDescent="0.4">
      <c r="A60" s="71" t="s">
        <v>829</v>
      </c>
      <c r="B60" s="33"/>
      <c r="C60" s="33"/>
      <c r="D60" s="33"/>
      <c r="E60" s="33"/>
      <c r="F60" s="34"/>
      <c r="G60" s="33"/>
      <c r="H60" s="33"/>
      <c r="I60" s="33"/>
      <c r="J60" s="33"/>
      <c r="K60" s="33"/>
      <c r="L60" s="33"/>
      <c r="M60" s="33"/>
      <c r="N60" s="33"/>
      <c r="O60" s="33"/>
      <c r="P60" s="33"/>
      <c r="Q60" s="33"/>
      <c r="R60" s="33"/>
      <c r="S60" s="33"/>
      <c r="T60" s="33"/>
      <c r="U60" s="33"/>
      <c r="V60" s="33"/>
      <c r="W60" s="33"/>
      <c r="X60" s="33"/>
      <c r="Y60" s="33"/>
      <c r="Z60" s="33"/>
      <c r="AA60" s="33"/>
      <c r="AB60" s="33"/>
      <c r="AC60" s="33"/>
      <c r="AD60" s="70" t="s">
        <v>2245</v>
      </c>
      <c r="AE60" s="115" t="s">
        <v>828</v>
      </c>
      <c r="AF60" s="58" t="s">
        <v>768</v>
      </c>
      <c r="AG60" s="1131">
        <f>+ROUND(((AG39+AG40+AG41+AG42+AG44+AG45+AG46+AG47-AG48)*AF59),2)</f>
        <v>0</v>
      </c>
      <c r="AH60" s="1132"/>
      <c r="AI60" s="1132"/>
      <c r="AJ60" s="1132"/>
      <c r="AK60" s="1175"/>
      <c r="AL60" s="267"/>
    </row>
    <row r="61" spans="1:38" ht="18.75" customHeight="1" thickBot="1" x14ac:dyDescent="0.4">
      <c r="A61" s="921" t="s">
        <v>2428</v>
      </c>
      <c r="B61" s="118"/>
      <c r="C61" s="118"/>
      <c r="D61" s="118"/>
      <c r="E61" s="118"/>
      <c r="F61" s="119"/>
      <c r="G61" s="118"/>
      <c r="H61" s="118"/>
      <c r="I61" s="118"/>
      <c r="J61" s="118"/>
      <c r="K61" s="118"/>
      <c r="L61" s="118"/>
      <c r="M61" s="118"/>
      <c r="N61" s="118"/>
      <c r="O61" s="118"/>
      <c r="P61" s="118"/>
      <c r="Q61" s="118"/>
      <c r="R61" s="118"/>
      <c r="S61" s="118"/>
      <c r="T61" s="118"/>
      <c r="U61" s="118"/>
      <c r="V61" s="118"/>
      <c r="W61" s="118"/>
      <c r="X61" s="118"/>
      <c r="Y61" s="118"/>
      <c r="Z61" s="118"/>
      <c r="AA61" s="118"/>
      <c r="AB61" s="118"/>
      <c r="AC61" s="118"/>
      <c r="AD61" s="117"/>
      <c r="AE61" s="116" t="s">
        <v>2427</v>
      </c>
      <c r="AF61" s="58" t="s">
        <v>768</v>
      </c>
      <c r="AG61" s="1131">
        <f>+ROUND(((AG39+AG40+AG41+AG42+AG44+AG45+AG46+AG47-AG48)-AG60),2)</f>
        <v>0</v>
      </c>
      <c r="AH61" s="1132"/>
      <c r="AI61" s="1132"/>
      <c r="AJ61" s="1132"/>
      <c r="AK61" s="1175"/>
    </row>
    <row r="62" spans="1:38" ht="8.25" customHeight="1" x14ac:dyDescent="0.35">
      <c r="A62" s="23"/>
      <c r="AK62" s="19"/>
    </row>
    <row r="63" spans="1:38" ht="27" customHeight="1" x14ac:dyDescent="0.35">
      <c r="A63" s="1216" t="s">
        <v>1240</v>
      </c>
      <c r="B63" s="1158"/>
      <c r="C63" s="1158"/>
      <c r="D63" s="1158"/>
      <c r="E63" s="1158"/>
      <c r="F63" s="1158"/>
      <c r="G63" s="1158"/>
      <c r="H63" s="1158"/>
      <c r="I63" s="1158"/>
      <c r="J63" s="1159"/>
      <c r="K63" s="320" t="s">
        <v>1237</v>
      </c>
      <c r="L63" s="1154">
        <f>COUNTIFS(COMPRAS!DC:DC,"SI")-COUNTIFS(COMPRAS!DC:DC,"SI",COMPRAS!G:G,"04-Nota de credito")-AC63-AC64</f>
        <v>3</v>
      </c>
      <c r="M63" s="1155"/>
      <c r="N63" s="1155"/>
      <c r="O63" s="1156"/>
      <c r="P63" s="1157" t="s">
        <v>1241</v>
      </c>
      <c r="Q63" s="1158"/>
      <c r="R63" s="1158"/>
      <c r="S63" s="1158"/>
      <c r="T63" s="1158"/>
      <c r="U63" s="1158"/>
      <c r="V63" s="1158"/>
      <c r="W63" s="1158"/>
      <c r="X63" s="1158"/>
      <c r="Y63" s="1158"/>
      <c r="Z63" s="1158"/>
      <c r="AA63" s="1159"/>
      <c r="AB63" s="320" t="s">
        <v>1238</v>
      </c>
      <c r="AC63" s="1154">
        <f>COUNTIFS(COMPRAS!DC:DC,"SI",COMPRAS!G:G,"02-Nota o boleta de venta")</f>
        <v>0</v>
      </c>
      <c r="AD63" s="1155"/>
      <c r="AE63" s="1155"/>
      <c r="AF63" s="1156"/>
      <c r="AG63" s="319"/>
      <c r="AK63" s="19"/>
    </row>
    <row r="64" spans="1:38" ht="27" customHeight="1" x14ac:dyDescent="0.35">
      <c r="A64" s="1216" t="s">
        <v>2046</v>
      </c>
      <c r="B64" s="1158"/>
      <c r="C64" s="1158"/>
      <c r="D64" s="1158"/>
      <c r="E64" s="1158"/>
      <c r="F64" s="1158"/>
      <c r="G64" s="1158"/>
      <c r="H64" s="1158"/>
      <c r="I64" s="1158"/>
      <c r="J64" s="1158"/>
      <c r="K64" s="1158"/>
      <c r="L64" s="1158"/>
      <c r="M64" s="1158"/>
      <c r="N64" s="1158"/>
      <c r="O64" s="1158"/>
      <c r="P64" s="1158"/>
      <c r="Q64" s="1158"/>
      <c r="R64" s="1158"/>
      <c r="S64" s="1158"/>
      <c r="T64" s="1158"/>
      <c r="U64" s="1158"/>
      <c r="V64" s="1158"/>
      <c r="W64" s="1158"/>
      <c r="X64" s="1158"/>
      <c r="Y64" s="1158"/>
      <c r="Z64" s="1158"/>
      <c r="AA64" s="1159"/>
      <c r="AB64" s="320" t="s">
        <v>1239</v>
      </c>
      <c r="AC64" s="1154">
        <f>COUNTIFS(COMPRAS!DC:DC,"SI",COMPRAS!G:G,"03-Liquidación de compra de Bienes o Prestación de servicios")</f>
        <v>0</v>
      </c>
      <c r="AD64" s="1155"/>
      <c r="AE64" s="1155"/>
      <c r="AF64" s="1156"/>
      <c r="AG64" s="319"/>
      <c r="AK64" s="19"/>
    </row>
    <row r="65" spans="1:39" ht="8.25" customHeight="1" thickBot="1" x14ac:dyDescent="0.4">
      <c r="A65" s="23"/>
      <c r="AK65" s="19"/>
    </row>
    <row r="66" spans="1:39" ht="19.5" customHeight="1" thickBot="1" x14ac:dyDescent="0.4">
      <c r="A66" s="114" t="s">
        <v>827</v>
      </c>
      <c r="B66" s="49"/>
      <c r="C66" s="49"/>
      <c r="D66" s="49"/>
      <c r="E66" s="49"/>
      <c r="F66" s="49"/>
      <c r="G66" s="49"/>
      <c r="H66" s="49"/>
      <c r="I66" s="49"/>
      <c r="J66" s="49"/>
      <c r="K66" s="49"/>
      <c r="L66" s="49"/>
      <c r="M66" s="49"/>
      <c r="N66" s="49"/>
      <c r="O66" s="49"/>
      <c r="P66" s="49"/>
      <c r="Q66" s="49"/>
      <c r="R66" s="49"/>
      <c r="S66" s="49"/>
      <c r="T66" s="49"/>
      <c r="U66" s="49"/>
      <c r="V66" s="49"/>
      <c r="W66" s="49"/>
      <c r="X66" s="49"/>
      <c r="Y66" s="49"/>
      <c r="Z66" s="49"/>
      <c r="AA66" s="49"/>
      <c r="AB66" s="49"/>
      <c r="AC66" s="49"/>
      <c r="AD66" s="49"/>
      <c r="AE66" s="49"/>
      <c r="AF66" s="49"/>
      <c r="AG66" s="49"/>
      <c r="AH66" s="49"/>
      <c r="AI66" s="49"/>
      <c r="AJ66" s="49"/>
      <c r="AK66" s="48"/>
    </row>
    <row r="67" spans="1:39" ht="18.75" customHeight="1" x14ac:dyDescent="0.35">
      <c r="A67" s="113" t="s">
        <v>2047</v>
      </c>
      <c r="B67" s="43"/>
      <c r="C67" s="43"/>
      <c r="D67" s="43"/>
      <c r="E67" s="43"/>
      <c r="F67" s="43"/>
      <c r="G67" s="43"/>
      <c r="H67" s="43"/>
      <c r="I67" s="43"/>
      <c r="J67" s="43"/>
      <c r="K67" s="43"/>
      <c r="L67" s="43"/>
      <c r="M67" s="43"/>
      <c r="N67" s="43"/>
      <c r="O67" s="43"/>
      <c r="P67" s="43"/>
      <c r="Q67" s="43"/>
      <c r="R67" s="43"/>
      <c r="S67" s="43"/>
      <c r="T67" s="43"/>
      <c r="U67" s="43"/>
      <c r="V67" s="43"/>
      <c r="W67" s="43"/>
      <c r="X67" s="43"/>
      <c r="Y67" s="112"/>
      <c r="Z67" s="43"/>
      <c r="AA67" s="43"/>
      <c r="AB67" s="43"/>
      <c r="AC67" s="43"/>
      <c r="AD67" s="55" t="s">
        <v>2051</v>
      </c>
      <c r="AE67" s="40" t="s">
        <v>826</v>
      </c>
      <c r="AF67" s="111" t="s">
        <v>768</v>
      </c>
      <c r="AG67" s="1123">
        <f>IF((AH34-AG60)&gt;0,(AH34-AG60),0)</f>
        <v>0</v>
      </c>
      <c r="AH67" s="1124"/>
      <c r="AI67" s="1124"/>
      <c r="AJ67" s="1124"/>
      <c r="AK67" s="1125"/>
      <c r="AM67" s="95"/>
    </row>
    <row r="68" spans="1:39" ht="18.75" customHeight="1" x14ac:dyDescent="0.35">
      <c r="A68" s="109" t="s">
        <v>2048</v>
      </c>
      <c r="B68" s="15"/>
      <c r="C68" s="15"/>
      <c r="D68" s="43"/>
      <c r="E68" s="43"/>
      <c r="F68" s="43"/>
      <c r="G68" s="43"/>
      <c r="H68" s="15"/>
      <c r="I68" s="15"/>
      <c r="J68" s="15"/>
      <c r="K68" s="15"/>
      <c r="L68" s="15"/>
      <c r="M68" s="15"/>
      <c r="N68" s="15"/>
      <c r="O68" s="15"/>
      <c r="P68" s="15"/>
      <c r="Q68" s="15"/>
      <c r="R68" s="15"/>
      <c r="S68" s="15"/>
      <c r="T68" s="15"/>
      <c r="U68" s="15"/>
      <c r="V68" s="15"/>
      <c r="W68" s="15"/>
      <c r="X68" s="15"/>
      <c r="Y68" s="110"/>
      <c r="Z68" s="15"/>
      <c r="AA68" s="15"/>
      <c r="AB68" s="15"/>
      <c r="AC68" s="15"/>
      <c r="AD68" s="207" t="s">
        <v>2052</v>
      </c>
      <c r="AE68" s="72" t="s">
        <v>825</v>
      </c>
      <c r="AF68" s="54" t="s">
        <v>768</v>
      </c>
      <c r="AG68" s="1109">
        <f>IF((AH34-AG60)&lt;0,ABS(AH34-AG60),0)</f>
        <v>0</v>
      </c>
      <c r="AH68" s="1110"/>
      <c r="AI68" s="1110"/>
      <c r="AJ68" s="1110"/>
      <c r="AK68" s="1112"/>
      <c r="AM68" s="95"/>
    </row>
    <row r="69" spans="1:39" s="75" customFormat="1" ht="18.75" customHeight="1" x14ac:dyDescent="0.35">
      <c r="A69" s="109" t="s">
        <v>2049</v>
      </c>
      <c r="B69" s="76"/>
      <c r="C69" s="76"/>
      <c r="D69" s="101"/>
      <c r="E69" s="101"/>
      <c r="F69" s="101"/>
      <c r="G69" s="101"/>
      <c r="H69" s="76"/>
      <c r="I69" s="76"/>
      <c r="J69" s="76"/>
      <c r="K69" s="76"/>
      <c r="L69" s="76"/>
      <c r="M69" s="76"/>
      <c r="N69" s="76"/>
      <c r="O69" s="76"/>
      <c r="P69" s="76"/>
      <c r="Q69" s="76"/>
      <c r="R69" s="76"/>
      <c r="S69" s="76"/>
      <c r="T69" s="76"/>
      <c r="U69" s="76"/>
      <c r="V69" s="76"/>
      <c r="W69" s="76"/>
      <c r="X69" s="76"/>
      <c r="Y69" s="108"/>
      <c r="Z69" s="76"/>
      <c r="AA69" s="76"/>
      <c r="AB69" s="76"/>
      <c r="AC69" s="76"/>
      <c r="AD69" s="76"/>
      <c r="AE69" s="72" t="s">
        <v>824</v>
      </c>
      <c r="AF69" s="53" t="s">
        <v>789</v>
      </c>
      <c r="AG69" s="1109">
        <v>0</v>
      </c>
      <c r="AH69" s="1110"/>
      <c r="AI69" s="1110"/>
      <c r="AJ69" s="1110"/>
      <c r="AK69" s="1112"/>
    </row>
    <row r="70" spans="1:39" s="75" customFormat="1" ht="18.75" customHeight="1" x14ac:dyDescent="0.35">
      <c r="A70" s="109" t="s">
        <v>2050</v>
      </c>
      <c r="B70" s="76"/>
      <c r="C70" s="76"/>
      <c r="D70" s="101"/>
      <c r="E70" s="101"/>
      <c r="F70" s="101"/>
      <c r="G70" s="101"/>
      <c r="H70" s="76"/>
      <c r="I70" s="76"/>
      <c r="J70" s="76"/>
      <c r="K70" s="76"/>
      <c r="L70" s="76"/>
      <c r="M70" s="76"/>
      <c r="N70" s="76"/>
      <c r="O70" s="76"/>
      <c r="P70" s="76"/>
      <c r="Q70" s="76"/>
      <c r="R70" s="76"/>
      <c r="S70" s="76"/>
      <c r="T70" s="76"/>
      <c r="U70" s="76"/>
      <c r="V70" s="76"/>
      <c r="W70" s="76"/>
      <c r="X70" s="76"/>
      <c r="Y70" s="108"/>
      <c r="Z70" s="76"/>
      <c r="AA70" s="76"/>
      <c r="AB70" s="76"/>
      <c r="AC70" s="76"/>
      <c r="AD70" s="76"/>
      <c r="AE70" s="72" t="s">
        <v>823</v>
      </c>
      <c r="AF70" s="53" t="s">
        <v>789</v>
      </c>
      <c r="AG70" s="1109">
        <v>0</v>
      </c>
      <c r="AH70" s="1110"/>
      <c r="AI70" s="1110"/>
      <c r="AJ70" s="1110"/>
      <c r="AK70" s="1112"/>
      <c r="AL70" s="107"/>
      <c r="AM70" s="89"/>
    </row>
    <row r="71" spans="1:39" ht="18.75" customHeight="1" x14ac:dyDescent="0.25">
      <c r="A71" s="1176" t="s">
        <v>822</v>
      </c>
      <c r="B71" s="1177"/>
      <c r="C71" s="1178"/>
      <c r="D71" s="580" t="s">
        <v>2053</v>
      </c>
      <c r="E71" s="91"/>
      <c r="F71" s="106"/>
      <c r="G71" s="91"/>
      <c r="H71" s="106"/>
      <c r="I71" s="91"/>
      <c r="J71" s="106"/>
      <c r="K71" s="91"/>
      <c r="L71" s="106"/>
      <c r="M71" s="91"/>
      <c r="N71" s="106"/>
      <c r="O71" s="91"/>
      <c r="P71" s="106"/>
      <c r="Q71" s="91"/>
      <c r="R71" s="106"/>
      <c r="S71" s="91"/>
      <c r="T71" s="106"/>
      <c r="U71" s="91"/>
      <c r="V71" s="106"/>
      <c r="W71" s="91"/>
      <c r="X71" s="106"/>
      <c r="Y71" s="106"/>
      <c r="Z71" s="91"/>
      <c r="AA71" s="106"/>
      <c r="AB71" s="91"/>
      <c r="AC71" s="106"/>
      <c r="AD71" s="578" t="s">
        <v>2057</v>
      </c>
      <c r="AE71" s="40" t="s">
        <v>821</v>
      </c>
      <c r="AF71" s="53" t="s">
        <v>789</v>
      </c>
      <c r="AG71" s="1093">
        <f>ABS(SUMIF(LIQ_IMPUESTOS!C$5:C$16,T4,LIQ_IMPUESTOS!AE$5:AE$16))</f>
        <v>0</v>
      </c>
      <c r="AH71" s="1094"/>
      <c r="AI71" s="1094"/>
      <c r="AJ71" s="1094"/>
      <c r="AK71" s="1095"/>
      <c r="AL71" s="75"/>
    </row>
    <row r="72" spans="1:39" ht="18.75" customHeight="1" x14ac:dyDescent="0.25">
      <c r="A72" s="1179"/>
      <c r="B72" s="1180"/>
      <c r="C72" s="1181"/>
      <c r="D72" s="580" t="s">
        <v>2054</v>
      </c>
      <c r="E72" s="105"/>
      <c r="F72" s="104"/>
      <c r="G72" s="105"/>
      <c r="H72" s="104"/>
      <c r="I72" s="105"/>
      <c r="J72" s="104"/>
      <c r="K72" s="105"/>
      <c r="L72" s="104"/>
      <c r="M72" s="105"/>
      <c r="N72" s="104"/>
      <c r="O72" s="105"/>
      <c r="P72" s="104"/>
      <c r="Q72" s="105"/>
      <c r="R72" s="104"/>
      <c r="S72" s="105"/>
      <c r="T72" s="104"/>
      <c r="U72" s="105"/>
      <c r="V72" s="104"/>
      <c r="W72" s="105"/>
      <c r="X72" s="104"/>
      <c r="Y72" s="104"/>
      <c r="Z72" s="105"/>
      <c r="AA72" s="104"/>
      <c r="AB72" s="105"/>
      <c r="AC72" s="104"/>
      <c r="AD72" s="579" t="s">
        <v>2058</v>
      </c>
      <c r="AE72" s="72" t="s">
        <v>820</v>
      </c>
      <c r="AF72" s="53" t="s">
        <v>789</v>
      </c>
      <c r="AG72" s="1093">
        <f>ABS(SUMIF(LIQ_IMPUESTOS!C$5:C$16,T4,LIQ_IMPUESTOS!AF$5:AF$16))</f>
        <v>0</v>
      </c>
      <c r="AH72" s="1094"/>
      <c r="AI72" s="1094"/>
      <c r="AJ72" s="1094"/>
      <c r="AK72" s="1095"/>
      <c r="AL72" s="75"/>
    </row>
    <row r="73" spans="1:39" s="75" customFormat="1" ht="18.75" customHeight="1" x14ac:dyDescent="0.25">
      <c r="A73" s="1179"/>
      <c r="B73" s="1180"/>
      <c r="C73" s="1181"/>
      <c r="D73" s="581" t="s">
        <v>2055</v>
      </c>
      <c r="E73" s="102"/>
      <c r="F73" s="103"/>
      <c r="G73" s="102"/>
      <c r="H73" s="103"/>
      <c r="I73" s="102"/>
      <c r="J73" s="103"/>
      <c r="K73" s="102"/>
      <c r="L73" s="103"/>
      <c r="M73" s="102"/>
      <c r="N73" s="103"/>
      <c r="O73" s="102"/>
      <c r="P73" s="103"/>
      <c r="Q73" s="102"/>
      <c r="R73" s="103"/>
      <c r="S73" s="102"/>
      <c r="T73" s="103"/>
      <c r="U73" s="102"/>
      <c r="V73" s="103"/>
      <c r="W73" s="102"/>
      <c r="X73" s="103"/>
      <c r="Y73" s="103"/>
      <c r="Z73" s="102"/>
      <c r="AA73" s="103"/>
      <c r="AB73" s="102"/>
      <c r="AC73" s="103"/>
      <c r="AD73" s="579" t="s">
        <v>2059</v>
      </c>
      <c r="AE73" s="72" t="s">
        <v>819</v>
      </c>
      <c r="AF73" s="53" t="s">
        <v>789</v>
      </c>
      <c r="AG73" s="1109">
        <v>0</v>
      </c>
      <c r="AH73" s="1110"/>
      <c r="AI73" s="1110"/>
      <c r="AJ73" s="1110"/>
      <c r="AK73" s="1112"/>
    </row>
    <row r="74" spans="1:39" s="75" customFormat="1" ht="18.75" customHeight="1" x14ac:dyDescent="0.25">
      <c r="A74" s="1182"/>
      <c r="B74" s="1183"/>
      <c r="C74" s="1184"/>
      <c r="D74" s="581" t="s">
        <v>2056</v>
      </c>
      <c r="E74" s="102"/>
      <c r="F74" s="103"/>
      <c r="G74" s="102"/>
      <c r="H74" s="103"/>
      <c r="I74" s="102"/>
      <c r="J74" s="103"/>
      <c r="K74" s="102"/>
      <c r="L74" s="103"/>
      <c r="M74" s="102"/>
      <c r="N74" s="103"/>
      <c r="O74" s="102"/>
      <c r="P74" s="103"/>
      <c r="Q74" s="102"/>
      <c r="R74" s="103"/>
      <c r="S74" s="102"/>
      <c r="T74" s="103"/>
      <c r="U74" s="102"/>
      <c r="V74" s="103"/>
      <c r="W74" s="102"/>
      <c r="X74" s="103"/>
      <c r="Y74" s="103"/>
      <c r="Z74" s="102"/>
      <c r="AA74" s="103"/>
      <c r="AB74" s="102"/>
      <c r="AC74" s="103"/>
      <c r="AD74" s="579" t="s">
        <v>2060</v>
      </c>
      <c r="AE74" s="40" t="s">
        <v>818</v>
      </c>
      <c r="AF74" s="53" t="s">
        <v>789</v>
      </c>
      <c r="AG74" s="1093">
        <v>0</v>
      </c>
      <c r="AH74" s="1094"/>
      <c r="AI74" s="1094"/>
      <c r="AJ74" s="1094"/>
      <c r="AK74" s="1095"/>
    </row>
    <row r="75" spans="1:39" ht="18.75" customHeight="1" x14ac:dyDescent="0.35">
      <c r="A75" s="99" t="s">
        <v>2061</v>
      </c>
      <c r="B75" s="15"/>
      <c r="C75" s="15"/>
      <c r="D75" s="43"/>
      <c r="E75" s="43"/>
      <c r="F75" s="43"/>
      <c r="G75" s="43"/>
      <c r="H75" s="15"/>
      <c r="I75" s="15"/>
      <c r="J75" s="15"/>
      <c r="K75" s="15"/>
      <c r="L75" s="15"/>
      <c r="M75" s="15"/>
      <c r="N75" s="15"/>
      <c r="O75" s="15"/>
      <c r="P75" s="15"/>
      <c r="Q75" s="15"/>
      <c r="R75" s="15"/>
      <c r="S75" s="15"/>
      <c r="T75" s="15"/>
      <c r="U75" s="15"/>
      <c r="V75" s="15"/>
      <c r="W75" s="15"/>
      <c r="X75" s="15"/>
      <c r="Y75" s="15"/>
      <c r="Z75" s="15"/>
      <c r="AA75" s="15"/>
      <c r="AB75" s="15"/>
      <c r="AC75" s="15"/>
      <c r="AD75" s="15"/>
      <c r="AE75" s="40" t="s">
        <v>817</v>
      </c>
      <c r="AF75" s="53" t="s">
        <v>789</v>
      </c>
      <c r="AG75" s="1109">
        <f>IF(N5,ABS(LIQ_IMPUESTOS!AG16),0)+IF(M5,ABS(LIQ_IMPUESTOS!AG15),0)+IF(L5,ABS(LIQ_IMPUESTOS!AG14),0)+IF(K5,ABS(LIQ_IMPUESTOS!AG13),0)+IF(J5,ABS(LIQ_IMPUESTOS!AG12),0)+IF(I5,ABS(LIQ_IMPUESTOS!AG11),0)+IF(H5,ABS(LIQ_IMPUESTOS!AG10),0)+IF(G5,ABS(LIQ_IMPUESTOS!AG9),0)+IF(F5,ABS(LIQ_IMPUESTOS!AG8),0)+IF(E5,ABS(LIQ_IMPUESTOS!AG7),0)+IF(D5,ABS(LIQ_IMPUESTOS!AG6),0)+IF(C5,ABS(LIQ_IMPUESTOS!AG5),0)</f>
        <v>0</v>
      </c>
      <c r="AH75" s="1110"/>
      <c r="AI75" s="1110"/>
      <c r="AJ75" s="1110"/>
      <c r="AK75" s="1112"/>
      <c r="AL75" s="95"/>
    </row>
    <row r="76" spans="1:39" s="75" customFormat="1" ht="18.75" customHeight="1" x14ac:dyDescent="0.35">
      <c r="A76" s="99" t="s">
        <v>2062</v>
      </c>
      <c r="B76" s="76"/>
      <c r="C76" s="76"/>
      <c r="D76" s="101"/>
      <c r="E76" s="101"/>
      <c r="F76" s="101"/>
      <c r="G76" s="101"/>
      <c r="H76" s="76"/>
      <c r="I76" s="76"/>
      <c r="J76" s="76"/>
      <c r="K76" s="76"/>
      <c r="L76" s="76"/>
      <c r="M76" s="76"/>
      <c r="N76" s="76"/>
      <c r="O76" s="76"/>
      <c r="P76" s="76"/>
      <c r="Q76" s="76"/>
      <c r="R76" s="76"/>
      <c r="S76" s="76"/>
      <c r="T76" s="76"/>
      <c r="U76" s="76"/>
      <c r="V76" s="76"/>
      <c r="W76" s="76"/>
      <c r="X76" s="76"/>
      <c r="Y76" s="76"/>
      <c r="Z76" s="76"/>
      <c r="AA76" s="76"/>
      <c r="AB76" s="76"/>
      <c r="AC76" s="76"/>
      <c r="AD76" s="76"/>
      <c r="AE76" s="40" t="s">
        <v>2072</v>
      </c>
      <c r="AF76" s="53" t="s">
        <v>789</v>
      </c>
      <c r="AG76" s="1093">
        <v>0</v>
      </c>
      <c r="AH76" s="1094"/>
      <c r="AI76" s="1094"/>
      <c r="AJ76" s="1094"/>
      <c r="AK76" s="1095"/>
    </row>
    <row r="77" spans="1:39" s="75" customFormat="1" ht="18.75" customHeight="1" x14ac:dyDescent="0.35">
      <c r="A77" s="99" t="s">
        <v>2063</v>
      </c>
      <c r="B77" s="76"/>
      <c r="C77" s="76"/>
      <c r="D77" s="101"/>
      <c r="E77" s="101"/>
      <c r="F77" s="101"/>
      <c r="G77" s="101"/>
      <c r="H77" s="76"/>
      <c r="I77" s="76"/>
      <c r="J77" s="76"/>
      <c r="K77" s="76"/>
      <c r="L77" s="76"/>
      <c r="M77" s="76"/>
      <c r="N77" s="76"/>
      <c r="O77" s="76"/>
      <c r="P77" s="76"/>
      <c r="Q77" s="76"/>
      <c r="R77" s="76"/>
      <c r="S77" s="76"/>
      <c r="T77" s="76"/>
      <c r="U77" s="76"/>
      <c r="V77" s="76"/>
      <c r="W77" s="76"/>
      <c r="X77" s="76"/>
      <c r="Y77" s="76"/>
      <c r="Z77" s="76"/>
      <c r="AA77" s="76"/>
      <c r="AB77" s="76"/>
      <c r="AC77" s="76"/>
      <c r="AD77" s="76"/>
      <c r="AE77" s="40" t="s">
        <v>816</v>
      </c>
      <c r="AF77" s="53" t="s">
        <v>814</v>
      </c>
      <c r="AG77" s="1093">
        <v>0</v>
      </c>
      <c r="AH77" s="1094"/>
      <c r="AI77" s="1094"/>
      <c r="AJ77" s="1094"/>
      <c r="AK77" s="1095"/>
    </row>
    <row r="78" spans="1:39" s="75" customFormat="1" ht="18.75" customHeight="1" x14ac:dyDescent="0.35">
      <c r="A78" s="99" t="s">
        <v>2064</v>
      </c>
      <c r="B78" s="76"/>
      <c r="C78" s="76"/>
      <c r="D78" s="101"/>
      <c r="E78" s="101"/>
      <c r="F78" s="101"/>
      <c r="G78" s="101"/>
      <c r="H78" s="76"/>
      <c r="I78" s="76"/>
      <c r="J78" s="76"/>
      <c r="K78" s="76"/>
      <c r="L78" s="76"/>
      <c r="M78" s="76"/>
      <c r="N78" s="76"/>
      <c r="O78" s="76"/>
      <c r="P78" s="76"/>
      <c r="Q78" s="76"/>
      <c r="R78" s="76"/>
      <c r="S78" s="76"/>
      <c r="T78" s="76"/>
      <c r="U78" s="76"/>
      <c r="V78" s="76"/>
      <c r="W78" s="76"/>
      <c r="X78" s="76"/>
      <c r="Y78" s="76"/>
      <c r="Z78" s="76"/>
      <c r="AA78" s="76"/>
      <c r="AB78" s="76"/>
      <c r="AC78" s="76"/>
      <c r="AD78" s="76"/>
      <c r="AE78" s="40" t="s">
        <v>815</v>
      </c>
      <c r="AF78" s="53" t="s">
        <v>814</v>
      </c>
      <c r="AG78" s="1109">
        <f>IF(AND(SUMIF(COMPRAS!DC:DC,"SI",COMPRAS!DO:DO)&gt;0,SUM(R13:R14)&gt;0),SUMIF(COMPRAS!DC:DC,"SI",COMPRAS!DO:DO),0)</f>
        <v>0</v>
      </c>
      <c r="AH78" s="1110"/>
      <c r="AI78" s="1110"/>
      <c r="AJ78" s="1110"/>
      <c r="AK78" s="1112"/>
      <c r="AL78" s="100"/>
      <c r="AM78" s="89"/>
    </row>
    <row r="79" spans="1:39" ht="18.75" customHeight="1" x14ac:dyDescent="0.35">
      <c r="A79" s="99" t="s">
        <v>2065</v>
      </c>
      <c r="B79" s="15"/>
      <c r="C79" s="15"/>
      <c r="D79" s="43"/>
      <c r="E79" s="43"/>
      <c r="F79" s="43"/>
      <c r="G79" s="43"/>
      <c r="H79" s="15"/>
      <c r="I79" s="15"/>
      <c r="J79" s="15"/>
      <c r="K79" s="15"/>
      <c r="L79" s="15"/>
      <c r="M79" s="15"/>
      <c r="N79" s="15"/>
      <c r="O79" s="15"/>
      <c r="P79" s="15"/>
      <c r="Q79" s="15"/>
      <c r="R79" s="15"/>
      <c r="S79" s="15"/>
      <c r="T79" s="15"/>
      <c r="U79" s="15"/>
      <c r="V79" s="15"/>
      <c r="W79" s="15"/>
      <c r="X79" s="15"/>
      <c r="Y79" s="15"/>
      <c r="Z79" s="15"/>
      <c r="AA79" s="15"/>
      <c r="AB79" s="15"/>
      <c r="AC79" s="15"/>
      <c r="AD79" s="15"/>
      <c r="AE79" s="40" t="s">
        <v>813</v>
      </c>
      <c r="AF79" s="53" t="s">
        <v>770</v>
      </c>
      <c r="AG79" s="1093">
        <v>0</v>
      </c>
      <c r="AH79" s="1094"/>
      <c r="AI79" s="1094"/>
      <c r="AJ79" s="1094"/>
      <c r="AK79" s="1095"/>
      <c r="AL79" s="75"/>
    </row>
    <row r="80" spans="1:39" ht="18.75" customHeight="1" x14ac:dyDescent="0.35">
      <c r="A80" s="99" t="s">
        <v>2066</v>
      </c>
      <c r="B80" s="15"/>
      <c r="C80" s="15"/>
      <c r="D80" s="43"/>
      <c r="E80" s="43"/>
      <c r="F80" s="43"/>
      <c r="G80" s="43"/>
      <c r="H80" s="15"/>
      <c r="I80" s="15"/>
      <c r="J80" s="15"/>
      <c r="K80" s="15"/>
      <c r="L80" s="15"/>
      <c r="M80" s="15"/>
      <c r="N80" s="15"/>
      <c r="O80" s="15"/>
      <c r="P80" s="15"/>
      <c r="Q80" s="15"/>
      <c r="R80" s="15"/>
      <c r="S80" s="15"/>
      <c r="T80" s="15"/>
      <c r="U80" s="15"/>
      <c r="V80" s="15"/>
      <c r="W80" s="15"/>
      <c r="X80" s="15"/>
      <c r="Y80" s="15"/>
      <c r="Z80" s="15"/>
      <c r="AA80" s="15"/>
      <c r="AB80" s="15"/>
      <c r="AC80" s="15"/>
      <c r="AD80" s="15"/>
      <c r="AE80" s="40" t="s">
        <v>812</v>
      </c>
      <c r="AF80" s="53" t="s">
        <v>770</v>
      </c>
      <c r="AG80" s="1093">
        <v>0</v>
      </c>
      <c r="AH80" s="1094"/>
      <c r="AI80" s="1094"/>
      <c r="AJ80" s="1094"/>
      <c r="AK80" s="1095"/>
      <c r="AL80" s="75"/>
    </row>
    <row r="81" spans="1:39" ht="18.75" customHeight="1" x14ac:dyDescent="0.35">
      <c r="A81" s="99" t="s">
        <v>2067</v>
      </c>
      <c r="B81" s="15"/>
      <c r="C81" s="15"/>
      <c r="D81" s="43"/>
      <c r="E81" s="43"/>
      <c r="F81" s="43"/>
      <c r="G81" s="43"/>
      <c r="H81" s="15"/>
      <c r="I81" s="15"/>
      <c r="J81" s="15"/>
      <c r="K81" s="15"/>
      <c r="L81" s="15"/>
      <c r="M81" s="15"/>
      <c r="N81" s="15"/>
      <c r="O81" s="15"/>
      <c r="P81" s="15"/>
      <c r="Q81" s="15"/>
      <c r="R81" s="15"/>
      <c r="S81" s="15"/>
      <c r="T81" s="15"/>
      <c r="U81" s="15"/>
      <c r="V81" s="15"/>
      <c r="W81" s="15"/>
      <c r="X81" s="15"/>
      <c r="Y81" s="15"/>
      <c r="Z81" s="15"/>
      <c r="AA81" s="15"/>
      <c r="AB81" s="15"/>
      <c r="AC81" s="15"/>
      <c r="AD81" s="15"/>
      <c r="AE81" s="40" t="s">
        <v>811</v>
      </c>
      <c r="AF81" s="53" t="s">
        <v>770</v>
      </c>
      <c r="AG81" s="1093">
        <v>0</v>
      </c>
      <c r="AH81" s="1094"/>
      <c r="AI81" s="1094"/>
      <c r="AJ81" s="1094"/>
      <c r="AK81" s="1095"/>
      <c r="AL81" s="75"/>
    </row>
    <row r="82" spans="1:39" ht="18.75" customHeight="1" x14ac:dyDescent="0.35">
      <c r="A82" s="1212" t="s">
        <v>810</v>
      </c>
      <c r="B82" s="1177"/>
      <c r="C82" s="1178"/>
      <c r="D82" s="98" t="s">
        <v>2068</v>
      </c>
      <c r="E82" s="91"/>
      <c r="F82" s="91"/>
      <c r="G82" s="91"/>
      <c r="H82" s="91"/>
      <c r="I82" s="97"/>
      <c r="J82" s="97"/>
      <c r="K82" s="97"/>
      <c r="L82" s="97"/>
      <c r="M82" s="97"/>
      <c r="N82" s="97"/>
      <c r="O82" s="97"/>
      <c r="P82" s="97"/>
      <c r="Q82" s="97"/>
      <c r="R82" s="97"/>
      <c r="S82" s="97"/>
      <c r="T82" s="97"/>
      <c r="U82" s="97"/>
      <c r="V82" s="97"/>
      <c r="W82" s="97"/>
      <c r="X82" s="97"/>
      <c r="Y82" s="97"/>
      <c r="Z82" s="1215"/>
      <c r="AA82" s="1215"/>
      <c r="AB82" s="1215"/>
      <c r="AC82" s="97"/>
      <c r="AD82" s="97"/>
      <c r="AE82" s="72" t="s">
        <v>809</v>
      </c>
      <c r="AF82" s="96" t="s">
        <v>768</v>
      </c>
      <c r="AG82" s="1109">
        <f>IF((AG67-AG68-AG69-AG70-AG71-AG72-AG73-AG74-AG75+AG77+AG78+AG79+AG80+AG81)&lt;0,ABS((AG67-AG68-AG69-AG70-AG71-AG72-AG73-AG74-AG75+AG77+AG78+AG79+AG80+AG81))-AG83-AG84-AG85,0)</f>
        <v>0</v>
      </c>
      <c r="AH82" s="1110"/>
      <c r="AI82" s="1110"/>
      <c r="AJ82" s="1110"/>
      <c r="AK82" s="1112"/>
      <c r="AM82" s="95"/>
    </row>
    <row r="83" spans="1:39" ht="18.75" customHeight="1" x14ac:dyDescent="0.35">
      <c r="A83" s="1213"/>
      <c r="B83" s="1180"/>
      <c r="C83" s="1181"/>
      <c r="D83" s="92" t="s">
        <v>2054</v>
      </c>
      <c r="E83" s="91"/>
      <c r="F83" s="91"/>
      <c r="G83" s="91"/>
      <c r="H83" s="91"/>
      <c r="I83" s="91"/>
      <c r="J83" s="91"/>
      <c r="K83" s="91"/>
      <c r="L83" s="91"/>
      <c r="M83" s="91"/>
      <c r="N83" s="91"/>
      <c r="O83" s="91"/>
      <c r="P83" s="91"/>
      <c r="Q83" s="91"/>
      <c r="R83" s="91"/>
      <c r="S83" s="91"/>
      <c r="T83" s="91"/>
      <c r="U83" s="91"/>
      <c r="V83" s="91"/>
      <c r="W83" s="91"/>
      <c r="X83" s="91"/>
      <c r="Y83" s="91"/>
      <c r="Z83" s="91"/>
      <c r="AA83" s="91"/>
      <c r="AB83" s="91"/>
      <c r="AC83" s="91"/>
      <c r="AD83" s="90"/>
      <c r="AE83" s="36" t="s">
        <v>808</v>
      </c>
      <c r="AF83" s="84" t="s">
        <v>768</v>
      </c>
      <c r="AG83" s="1109">
        <f>IF((AG67-AG68-AG69-AG70-AG71-AG72-AG73-AG74-AG75+AG77+AG78+AG79+AG80+AG81)&lt;0,IF((AG67-AG68-AG69-AG70-AG71-AG74+AG77+AG78+AG79+AG80+AG81)&lt;0,(AG72+AG75),IF((AG72+AG75-(AG67-AG68-AG69-AG70-AG71-AG73-AG74+AG77+AG78+AG79+AG80+AG81))&lt;0,0,(AG72+AG75-(AG67-AG68-AG69-AG70-AG71-AG73-AG74+AG77+AG78+AG79+AG80+AG81)))),0)</f>
        <v>0</v>
      </c>
      <c r="AH83" s="1110"/>
      <c r="AI83" s="1110"/>
      <c r="AJ83" s="1110"/>
      <c r="AK83" s="1112"/>
      <c r="AM83" s="95"/>
    </row>
    <row r="84" spans="1:39" s="75" customFormat="1" ht="18.75" customHeight="1" x14ac:dyDescent="0.35">
      <c r="A84" s="1213"/>
      <c r="B84" s="1180"/>
      <c r="C84" s="1181"/>
      <c r="D84" s="92" t="s">
        <v>2069</v>
      </c>
      <c r="E84" s="94"/>
      <c r="F84" s="94"/>
      <c r="G84" s="94"/>
      <c r="H84" s="94"/>
      <c r="I84" s="94"/>
      <c r="J84" s="94"/>
      <c r="K84" s="94"/>
      <c r="L84" s="94"/>
      <c r="M84" s="94"/>
      <c r="N84" s="94"/>
      <c r="O84" s="94"/>
      <c r="P84" s="94"/>
      <c r="Q84" s="94"/>
      <c r="R84" s="94"/>
      <c r="S84" s="94"/>
      <c r="T84" s="94"/>
      <c r="U84" s="94"/>
      <c r="V84" s="94"/>
      <c r="W84" s="94"/>
      <c r="X84" s="94"/>
      <c r="Y84" s="94"/>
      <c r="Z84" s="94"/>
      <c r="AA84" s="94"/>
      <c r="AB84" s="94"/>
      <c r="AC84" s="94"/>
      <c r="AD84" s="93"/>
      <c r="AE84" s="36" t="s">
        <v>807</v>
      </c>
      <c r="AF84" s="84" t="s">
        <v>768</v>
      </c>
      <c r="AG84" s="1109">
        <v>0</v>
      </c>
      <c r="AH84" s="1110"/>
      <c r="AI84" s="1110"/>
      <c r="AJ84" s="1110"/>
      <c r="AK84" s="1112"/>
    </row>
    <row r="85" spans="1:39" s="75" customFormat="1" ht="18.75" customHeight="1" x14ac:dyDescent="0.35">
      <c r="A85" s="1214"/>
      <c r="B85" s="1183"/>
      <c r="C85" s="1184"/>
      <c r="D85" s="92" t="s">
        <v>2056</v>
      </c>
      <c r="E85" s="91"/>
      <c r="F85" s="91"/>
      <c r="G85" s="91"/>
      <c r="H85" s="91"/>
      <c r="I85" s="91"/>
      <c r="J85" s="91"/>
      <c r="K85" s="91"/>
      <c r="L85" s="91"/>
      <c r="M85" s="91"/>
      <c r="N85" s="91"/>
      <c r="O85" s="91"/>
      <c r="P85" s="91"/>
      <c r="Q85" s="91"/>
      <c r="R85" s="91"/>
      <c r="S85" s="91"/>
      <c r="T85" s="91"/>
      <c r="U85" s="91"/>
      <c r="V85" s="91"/>
      <c r="W85" s="91"/>
      <c r="X85" s="91"/>
      <c r="Y85" s="91"/>
      <c r="Z85" s="91"/>
      <c r="AA85" s="91"/>
      <c r="AB85" s="91"/>
      <c r="AC85" s="91"/>
      <c r="AD85" s="90"/>
      <c r="AE85" s="36" t="s">
        <v>806</v>
      </c>
      <c r="AF85" s="52" t="s">
        <v>768</v>
      </c>
      <c r="AG85" s="1167">
        <f>IF((AG67-AG68-AG69-AG70-AG71-AG72-AG73-AG74-AG75+AG77+AG78+AG79+AG80+AG81)&lt;0,IF((AG70+AG74-AG78)&gt;0,IF((AG67-AG68-AG69)-(AG70+AG74-AG78)&gt;0,0,(AG70+AG74-AG78)-(AG67-AG69)),0),0)</f>
        <v>0</v>
      </c>
      <c r="AH85" s="1110"/>
      <c r="AI85" s="1110"/>
      <c r="AJ85" s="1110"/>
      <c r="AK85" s="1112"/>
      <c r="AL85" s="3"/>
      <c r="AM85" s="89"/>
    </row>
    <row r="86" spans="1:39" ht="18.75" customHeight="1" x14ac:dyDescent="0.35">
      <c r="A86" s="99" t="s">
        <v>2431</v>
      </c>
      <c r="B86" s="15"/>
      <c r="C86" s="15"/>
      <c r="D86" s="43"/>
      <c r="E86" s="43"/>
      <c r="F86" s="43"/>
      <c r="G86" s="43"/>
      <c r="H86" s="15"/>
      <c r="I86" s="15"/>
      <c r="J86" s="15"/>
      <c r="K86" s="15"/>
      <c r="L86" s="15"/>
      <c r="M86" s="15"/>
      <c r="N86" s="15"/>
      <c r="O86" s="15"/>
      <c r="P86" s="15"/>
      <c r="Q86" s="15"/>
      <c r="R86" s="15"/>
      <c r="S86" s="15"/>
      <c r="T86" s="15"/>
      <c r="U86" s="15"/>
      <c r="V86" s="15"/>
      <c r="W86" s="15"/>
      <c r="X86" s="15"/>
      <c r="Y86" s="15"/>
      <c r="Z86" s="15"/>
      <c r="AA86" s="15"/>
      <c r="AB86" s="15"/>
      <c r="AC86" s="15"/>
      <c r="AD86" s="15"/>
      <c r="AE86" s="40" t="s">
        <v>2430</v>
      </c>
      <c r="AF86" s="53" t="s">
        <v>768</v>
      </c>
      <c r="AG86" s="1093">
        <v>0</v>
      </c>
      <c r="AH86" s="1094"/>
      <c r="AI86" s="1094"/>
      <c r="AJ86" s="1094"/>
      <c r="AK86" s="1095"/>
      <c r="AL86" s="75"/>
    </row>
    <row r="87" spans="1:39" ht="18.75" customHeight="1" thickBot="1" x14ac:dyDescent="0.4">
      <c r="A87" s="88" t="s">
        <v>805</v>
      </c>
      <c r="B87" s="87"/>
      <c r="C87" s="87"/>
      <c r="D87" s="75"/>
      <c r="E87" s="75"/>
      <c r="F87" s="75"/>
      <c r="G87" s="75"/>
      <c r="H87" s="75"/>
      <c r="I87" s="75"/>
      <c r="J87" s="75"/>
      <c r="K87" s="75"/>
      <c r="L87" s="75"/>
      <c r="M87" s="75"/>
      <c r="N87" s="75"/>
      <c r="O87" s="75"/>
      <c r="P87" s="75"/>
      <c r="Q87" s="75"/>
      <c r="R87" s="75"/>
      <c r="S87" s="75"/>
      <c r="T87" s="75"/>
      <c r="U87" s="75"/>
      <c r="V87" s="75"/>
      <c r="W87" s="75"/>
      <c r="X87" s="75"/>
      <c r="Y87" s="75"/>
      <c r="Z87" s="75"/>
      <c r="AA87" s="75"/>
      <c r="AB87" s="75"/>
      <c r="AC87" s="75"/>
      <c r="AD87" s="86" t="s">
        <v>2429</v>
      </c>
      <c r="AE87" s="85" t="s">
        <v>804</v>
      </c>
      <c r="AF87" s="84" t="s">
        <v>768</v>
      </c>
      <c r="AG87" s="1209">
        <f>IF((AG67-AG68-AG69-AG70-AG71-AG72-AG73-AG74-AG75+AG77+AG78+AG79+AG80+AG81)&gt;0,(AG67-AG68-AG69-AG70-AG71-AG72-AG73-AG74-AG75+AG77+AG78+AG79+AG80+AG81),0)</f>
        <v>0</v>
      </c>
      <c r="AH87" s="1210"/>
      <c r="AI87" s="1210"/>
      <c r="AJ87" s="1210"/>
      <c r="AK87" s="1211"/>
      <c r="AM87" s="83"/>
    </row>
    <row r="88" spans="1:39" s="75" customFormat="1" ht="18.75" customHeight="1" thickBot="1" x14ac:dyDescent="0.4">
      <c r="A88" s="82" t="s">
        <v>2070</v>
      </c>
      <c r="B88" s="57"/>
      <c r="C88" s="57"/>
      <c r="D88" s="57"/>
      <c r="E88" s="57"/>
      <c r="F88" s="57"/>
      <c r="G88" s="57"/>
      <c r="H88" s="57"/>
      <c r="I88" s="57"/>
      <c r="J88" s="57"/>
      <c r="K88" s="57"/>
      <c r="L88" s="57"/>
      <c r="M88" s="57"/>
      <c r="N88" s="57"/>
      <c r="O88" s="57"/>
      <c r="P88" s="57"/>
      <c r="Q88" s="57"/>
      <c r="R88" s="57"/>
      <c r="S88" s="57"/>
      <c r="T88" s="57"/>
      <c r="U88" s="57"/>
      <c r="V88" s="57"/>
      <c r="W88" s="57"/>
      <c r="X88" s="57"/>
      <c r="Y88" s="57"/>
      <c r="Z88" s="57"/>
      <c r="AA88" s="57"/>
      <c r="AB88" s="57"/>
      <c r="AC88" s="57"/>
      <c r="AD88" s="81"/>
      <c r="AE88" s="80" t="s">
        <v>803</v>
      </c>
      <c r="AF88" s="79" t="s">
        <v>770</v>
      </c>
      <c r="AG88" s="1196">
        <v>0</v>
      </c>
      <c r="AH88" s="1194"/>
      <c r="AI88" s="1194"/>
      <c r="AJ88" s="1194"/>
      <c r="AK88" s="1195"/>
    </row>
    <row r="89" spans="1:39" ht="18.75" customHeight="1" thickBot="1" x14ac:dyDescent="0.4">
      <c r="A89" s="71" t="s">
        <v>2071</v>
      </c>
      <c r="B89" s="33"/>
      <c r="C89" s="33"/>
      <c r="D89" s="33"/>
      <c r="E89" s="33"/>
      <c r="F89" s="34"/>
      <c r="G89" s="33"/>
      <c r="H89" s="33"/>
      <c r="I89" s="33"/>
      <c r="J89" s="33"/>
      <c r="K89" s="33"/>
      <c r="L89" s="33"/>
      <c r="M89" s="33"/>
      <c r="N89" s="33"/>
      <c r="O89" s="33"/>
      <c r="P89" s="33"/>
      <c r="Q89" s="33"/>
      <c r="R89" s="33"/>
      <c r="S89" s="33"/>
      <c r="T89" s="33"/>
      <c r="U89" s="33"/>
      <c r="V89" s="33"/>
      <c r="W89" s="33"/>
      <c r="X89" s="33"/>
      <c r="Y89" s="33"/>
      <c r="Z89" s="33"/>
      <c r="AA89" s="33"/>
      <c r="AB89" s="33"/>
      <c r="AC89" s="33"/>
      <c r="AD89" s="70" t="s">
        <v>802</v>
      </c>
      <c r="AE89" s="59" t="s">
        <v>801</v>
      </c>
      <c r="AF89" s="58" t="s">
        <v>768</v>
      </c>
      <c r="AG89" s="1131">
        <f>+AG87+AG88</f>
        <v>0</v>
      </c>
      <c r="AH89" s="1132"/>
      <c r="AI89" s="1132"/>
      <c r="AJ89" s="1132"/>
      <c r="AK89" s="1175"/>
    </row>
    <row r="90" spans="1:39" ht="8.25" customHeight="1" thickBot="1" x14ac:dyDescent="0.4">
      <c r="A90" s="64"/>
      <c r="B90" s="33"/>
      <c r="C90" s="33"/>
      <c r="D90" s="33"/>
      <c r="E90" s="33"/>
      <c r="F90" s="33"/>
      <c r="G90" s="33"/>
      <c r="H90" s="33"/>
      <c r="I90" s="33"/>
      <c r="J90" s="33"/>
      <c r="K90" s="33"/>
      <c r="L90" s="33"/>
      <c r="M90" s="33"/>
      <c r="N90" s="33"/>
      <c r="O90" s="33"/>
      <c r="P90" s="33"/>
      <c r="Q90" s="33"/>
      <c r="R90" s="33"/>
      <c r="S90" s="33"/>
      <c r="T90" s="33"/>
      <c r="U90" s="33"/>
      <c r="V90" s="33"/>
      <c r="W90" s="33"/>
      <c r="X90" s="33"/>
      <c r="Y90" s="33"/>
      <c r="Z90" s="33"/>
      <c r="AA90" s="33"/>
      <c r="AB90" s="33"/>
      <c r="AC90" s="33"/>
      <c r="AD90" s="33"/>
      <c r="AE90" s="33"/>
      <c r="AF90" s="33"/>
      <c r="AG90" s="33"/>
      <c r="AH90" s="33"/>
      <c r="AI90" s="33"/>
      <c r="AJ90" s="33"/>
      <c r="AK90" s="78"/>
    </row>
    <row r="91" spans="1:39" ht="19.5" customHeight="1" thickBot="1" x14ac:dyDescent="0.4">
      <c r="A91" s="50" t="s">
        <v>800</v>
      </c>
      <c r="B91" s="49"/>
      <c r="C91" s="49"/>
      <c r="D91" s="49"/>
      <c r="E91" s="49"/>
      <c r="F91" s="49"/>
      <c r="G91" s="49"/>
      <c r="H91" s="49"/>
      <c r="I91" s="49"/>
      <c r="J91" s="49"/>
      <c r="K91" s="49"/>
      <c r="L91" s="49"/>
      <c r="M91" s="49"/>
      <c r="N91" s="49"/>
      <c r="O91" s="49"/>
      <c r="P91" s="49"/>
      <c r="Q91" s="49"/>
      <c r="R91" s="49"/>
      <c r="S91" s="49"/>
      <c r="T91" s="49"/>
      <c r="U91" s="49"/>
      <c r="V91" s="49"/>
      <c r="W91" s="1066" t="s">
        <v>2432</v>
      </c>
      <c r="X91" s="1067"/>
      <c r="Y91" s="1067"/>
      <c r="Z91" s="1067"/>
      <c r="AA91" s="1067"/>
      <c r="AB91" s="1067"/>
      <c r="AC91" s="1067"/>
      <c r="AD91" s="1068"/>
      <c r="AE91" s="1066" t="s">
        <v>2433</v>
      </c>
      <c r="AF91" s="1067"/>
      <c r="AG91" s="1067"/>
      <c r="AH91" s="1067"/>
      <c r="AI91" s="1067"/>
      <c r="AJ91" s="1067"/>
      <c r="AK91" s="1068"/>
    </row>
    <row r="92" spans="1:39" ht="17.5" customHeight="1" x14ac:dyDescent="0.35">
      <c r="A92" s="922" t="s">
        <v>2438</v>
      </c>
      <c r="B92" s="37"/>
      <c r="C92" s="37"/>
      <c r="D92" s="37"/>
      <c r="E92" s="37"/>
      <c r="F92" s="248"/>
      <c r="G92" s="37"/>
      <c r="H92" s="37"/>
      <c r="I92" s="37"/>
      <c r="J92" s="37"/>
      <c r="K92" s="37"/>
      <c r="L92" s="37"/>
      <c r="M92" s="37"/>
      <c r="N92" s="37"/>
      <c r="O92" s="37"/>
      <c r="P92" s="37"/>
      <c r="Q92" s="37"/>
      <c r="R92" s="37"/>
      <c r="S92" s="37"/>
      <c r="T92" s="37"/>
      <c r="U92" s="37"/>
      <c r="V92" s="37"/>
      <c r="W92" s="36" t="s">
        <v>2434</v>
      </c>
      <c r="X92" s="53" t="s">
        <v>768</v>
      </c>
      <c r="Y92" s="925"/>
      <c r="Z92" s="1105">
        <v>0</v>
      </c>
      <c r="AA92" s="1106"/>
      <c r="AB92" s="1106"/>
      <c r="AC92" s="1106"/>
      <c r="AD92" s="1107"/>
      <c r="AE92" s="36" t="s">
        <v>2435</v>
      </c>
      <c r="AF92" s="51" t="s">
        <v>768</v>
      </c>
      <c r="AG92" s="1102">
        <v>0</v>
      </c>
      <c r="AH92" s="1103"/>
      <c r="AI92" s="1103"/>
      <c r="AJ92" s="1103"/>
      <c r="AK92" s="1104"/>
    </row>
    <row r="93" spans="1:39" ht="11.5" x14ac:dyDescent="0.35">
      <c r="A93" s="920"/>
      <c r="B93" s="75"/>
      <c r="C93" s="75"/>
      <c r="D93" s="75"/>
      <c r="E93" s="75"/>
      <c r="F93" s="75"/>
      <c r="G93" s="75"/>
      <c r="H93" s="75"/>
      <c r="I93" s="75"/>
      <c r="J93" s="75"/>
      <c r="K93" s="75"/>
      <c r="L93" s="75"/>
      <c r="M93" s="75"/>
      <c r="N93" s="75"/>
      <c r="O93" s="75"/>
      <c r="P93" s="75"/>
      <c r="Q93" s="75"/>
      <c r="R93" s="75"/>
      <c r="S93" s="75"/>
      <c r="T93" s="75"/>
      <c r="U93" s="75"/>
      <c r="V93" s="75"/>
      <c r="W93" s="87"/>
      <c r="X93" s="87"/>
      <c r="Y93" s="87"/>
      <c r="Z93" s="87"/>
      <c r="AA93" s="87"/>
      <c r="AB93" s="87"/>
      <c r="AC93" s="87"/>
      <c r="AD93" s="87"/>
      <c r="AE93" s="1099" t="s">
        <v>2436</v>
      </c>
      <c r="AF93" s="1100"/>
      <c r="AG93" s="1100"/>
      <c r="AH93" s="1100"/>
      <c r="AI93" s="1100"/>
      <c r="AJ93" s="1100"/>
      <c r="AK93" s="1101"/>
    </row>
    <row r="94" spans="1:39" ht="17.5" customHeight="1" thickBot="1" x14ac:dyDescent="0.4">
      <c r="A94" s="923" t="s">
        <v>2438</v>
      </c>
      <c r="B94" s="924"/>
      <c r="C94" s="924"/>
      <c r="D94" s="924"/>
      <c r="E94" s="924"/>
      <c r="F94" s="924"/>
      <c r="G94" s="924"/>
      <c r="H94" s="924"/>
      <c r="I94" s="924"/>
      <c r="J94" s="924"/>
      <c r="K94" s="924"/>
      <c r="L94" s="924"/>
      <c r="M94" s="924"/>
      <c r="N94" s="924"/>
      <c r="O94" s="924"/>
      <c r="P94" s="924"/>
      <c r="Q94" s="924"/>
      <c r="R94" s="924"/>
      <c r="S94" s="924"/>
      <c r="T94" s="924"/>
      <c r="U94" s="924"/>
      <c r="V94" s="924"/>
      <c r="W94" s="924"/>
      <c r="X94" s="924"/>
      <c r="Y94" s="924"/>
      <c r="Z94" s="924"/>
      <c r="AA94" s="924"/>
      <c r="AB94" s="924"/>
      <c r="AC94" s="924"/>
      <c r="AD94" s="924"/>
      <c r="AE94" s="40" t="s">
        <v>2437</v>
      </c>
      <c r="AF94" s="74" t="s">
        <v>768</v>
      </c>
      <c r="AG94" s="1096">
        <v>0</v>
      </c>
      <c r="AH94" s="1097"/>
      <c r="AI94" s="1097"/>
      <c r="AJ94" s="1097"/>
      <c r="AK94" s="1098"/>
    </row>
    <row r="95" spans="1:39" ht="8.25" customHeight="1" thickBot="1" x14ac:dyDescent="0.4">
      <c r="A95" s="64"/>
      <c r="B95" s="33"/>
      <c r="C95" s="33"/>
      <c r="D95" s="33"/>
      <c r="E95" s="33"/>
      <c r="F95" s="33"/>
      <c r="G95" s="33"/>
      <c r="H95" s="33"/>
      <c r="I95" s="33"/>
      <c r="J95" s="33"/>
      <c r="K95" s="33"/>
      <c r="L95" s="33"/>
      <c r="M95" s="33"/>
      <c r="N95" s="33"/>
      <c r="O95" s="33"/>
      <c r="P95" s="33"/>
      <c r="Q95" s="33"/>
      <c r="R95" s="33"/>
      <c r="S95" s="33"/>
      <c r="T95" s="33"/>
      <c r="U95" s="33"/>
      <c r="V95" s="33"/>
      <c r="W95" s="33"/>
      <c r="X95" s="33"/>
      <c r="Y95" s="33"/>
      <c r="Z95" s="33"/>
      <c r="AA95" s="33"/>
      <c r="AB95" s="33"/>
      <c r="AC95" s="33"/>
      <c r="AD95" s="33"/>
      <c r="AE95" s="33"/>
      <c r="AF95" s="33"/>
      <c r="AG95" s="33"/>
      <c r="AH95" s="33"/>
      <c r="AI95" s="33"/>
      <c r="AJ95" s="33"/>
      <c r="AK95" s="78"/>
    </row>
    <row r="96" spans="1:39" ht="19.5" customHeight="1" thickBot="1" x14ac:dyDescent="0.4">
      <c r="A96" s="50" t="s">
        <v>800</v>
      </c>
      <c r="B96" s="49"/>
      <c r="C96" s="49"/>
      <c r="D96" s="49"/>
      <c r="E96" s="49"/>
      <c r="F96" s="49"/>
      <c r="G96" s="49"/>
      <c r="H96" s="49"/>
      <c r="I96" s="49"/>
      <c r="J96" s="49"/>
      <c r="K96" s="49"/>
      <c r="L96" s="49"/>
      <c r="M96" s="49"/>
      <c r="N96" s="49"/>
      <c r="O96" s="49"/>
      <c r="P96" s="49"/>
      <c r="Q96" s="49"/>
      <c r="R96" s="49"/>
      <c r="S96" s="49"/>
      <c r="T96" s="49"/>
      <c r="U96" s="49"/>
      <c r="V96" s="49"/>
      <c r="W96" s="49"/>
      <c r="X96" s="49"/>
      <c r="Y96" s="49"/>
      <c r="Z96" s="49"/>
      <c r="AA96" s="49"/>
      <c r="AB96" s="49"/>
      <c r="AC96" s="49"/>
      <c r="AD96" s="49"/>
      <c r="AE96" s="49"/>
      <c r="AF96" s="49"/>
      <c r="AG96" s="49"/>
      <c r="AH96" s="49"/>
      <c r="AI96" s="49"/>
      <c r="AJ96" s="49"/>
      <c r="AK96" s="48"/>
    </row>
    <row r="97" spans="1:37" ht="18.75" customHeight="1" x14ac:dyDescent="0.35">
      <c r="A97" s="44" t="s">
        <v>2073</v>
      </c>
      <c r="B97" s="43"/>
      <c r="C97" s="43"/>
      <c r="D97" s="43"/>
      <c r="E97" s="43"/>
      <c r="F97" s="43"/>
      <c r="G97" s="43"/>
      <c r="H97" s="43"/>
      <c r="I97" s="43"/>
      <c r="J97" s="43"/>
      <c r="K97" s="43"/>
      <c r="L97" s="43"/>
      <c r="M97" s="43"/>
      <c r="N97" s="43"/>
      <c r="O97" s="43"/>
      <c r="P97" s="43"/>
      <c r="Q97" s="43"/>
      <c r="R97" s="43"/>
      <c r="S97" s="43"/>
      <c r="T97" s="43"/>
      <c r="U97" s="21"/>
      <c r="V97" s="43"/>
      <c r="W97" s="43"/>
      <c r="X97" s="43"/>
      <c r="Y97" s="43"/>
      <c r="Z97" s="43"/>
      <c r="AA97" s="43"/>
      <c r="AB97" s="43"/>
      <c r="AC97" s="43"/>
      <c r="AD97" s="43"/>
      <c r="AE97" s="40" t="s">
        <v>799</v>
      </c>
      <c r="AF97" s="74" t="s">
        <v>770</v>
      </c>
      <c r="AG97" s="1123">
        <f>SUMIF(COMPRAS!DC:DC,"SI",COMPRAS!CC:CC)</f>
        <v>0</v>
      </c>
      <c r="AH97" s="1124"/>
      <c r="AI97" s="1124"/>
      <c r="AJ97" s="1124"/>
      <c r="AK97" s="1125"/>
    </row>
    <row r="98" spans="1:37" ht="18.75" customHeight="1" x14ac:dyDescent="0.35">
      <c r="A98" s="41" t="s">
        <v>2074</v>
      </c>
      <c r="B98" s="15"/>
      <c r="C98" s="15"/>
      <c r="D98" s="15"/>
      <c r="E98" s="15"/>
      <c r="F98" s="15"/>
      <c r="G98" s="15"/>
      <c r="H98" s="15"/>
      <c r="I98" s="15"/>
      <c r="J98" s="15"/>
      <c r="K98" s="15"/>
      <c r="L98" s="15"/>
      <c r="M98" s="15"/>
      <c r="N98" s="15"/>
      <c r="O98" s="15"/>
      <c r="P98" s="15"/>
      <c r="Q98" s="15"/>
      <c r="R98" s="15"/>
      <c r="S98" s="15"/>
      <c r="T98" s="15"/>
      <c r="U98" s="73"/>
      <c r="V98" s="15"/>
      <c r="W98" s="15"/>
      <c r="X98" s="15"/>
      <c r="Y98" s="15"/>
      <c r="Z98" s="15"/>
      <c r="AA98" s="15"/>
      <c r="AB98" s="15"/>
      <c r="AC98" s="15"/>
      <c r="AD98" s="15"/>
      <c r="AE98" s="72" t="s">
        <v>798</v>
      </c>
      <c r="AF98" s="74" t="s">
        <v>770</v>
      </c>
      <c r="AG98" s="1109">
        <f>SUMIF(COMPRAS!DC:DC,"SI",COMPRAS!CD:CD)</f>
        <v>0</v>
      </c>
      <c r="AH98" s="1110"/>
      <c r="AI98" s="1110"/>
      <c r="AJ98" s="1110"/>
      <c r="AK98" s="1112"/>
    </row>
    <row r="99" spans="1:37" ht="18.75" customHeight="1" x14ac:dyDescent="0.35">
      <c r="A99" s="41" t="s">
        <v>2075</v>
      </c>
      <c r="B99" s="15"/>
      <c r="C99" s="15"/>
      <c r="D99" s="15"/>
      <c r="E99" s="15"/>
      <c r="F99" s="15"/>
      <c r="G99" s="15"/>
      <c r="H99" s="15"/>
      <c r="I99" s="15"/>
      <c r="J99" s="15"/>
      <c r="K99" s="15"/>
      <c r="L99" s="15"/>
      <c r="M99" s="15"/>
      <c r="N99" s="15"/>
      <c r="O99" s="15"/>
      <c r="P99" s="15"/>
      <c r="Q99" s="15"/>
      <c r="R99" s="15"/>
      <c r="S99" s="15"/>
      <c r="T99" s="15"/>
      <c r="U99" s="73"/>
      <c r="V99" s="15"/>
      <c r="W99" s="15"/>
      <c r="X99" s="15"/>
      <c r="Y99" s="15"/>
      <c r="Z99" s="15"/>
      <c r="AA99" s="15"/>
      <c r="AB99" s="15"/>
      <c r="AC99" s="15"/>
      <c r="AD99" s="15"/>
      <c r="AE99" s="72" t="s">
        <v>797</v>
      </c>
      <c r="AF99" s="74" t="s">
        <v>770</v>
      </c>
      <c r="AG99" s="1109">
        <f>SUMIF(COMPRAS!DC:DC,"SI",COMPRAS!CE:CE)</f>
        <v>0</v>
      </c>
      <c r="AH99" s="1110"/>
      <c r="AI99" s="1110"/>
      <c r="AJ99" s="1110"/>
      <c r="AK99" s="1112"/>
    </row>
    <row r="100" spans="1:37" s="75" customFormat="1" ht="18.75" customHeight="1" x14ac:dyDescent="0.35">
      <c r="A100" s="41" t="s">
        <v>2076</v>
      </c>
      <c r="B100" s="76"/>
      <c r="C100" s="76"/>
      <c r="D100" s="76"/>
      <c r="E100" s="76"/>
      <c r="F100" s="76"/>
      <c r="G100" s="76"/>
      <c r="H100" s="76"/>
      <c r="I100" s="76"/>
      <c r="J100" s="76"/>
      <c r="K100" s="76"/>
      <c r="L100" s="76"/>
      <c r="M100" s="76"/>
      <c r="N100" s="76"/>
      <c r="O100" s="76"/>
      <c r="P100" s="76"/>
      <c r="Q100" s="76"/>
      <c r="R100" s="76"/>
      <c r="S100" s="76"/>
      <c r="T100" s="76"/>
      <c r="U100" s="77"/>
      <c r="V100" s="76"/>
      <c r="W100" s="76"/>
      <c r="X100" s="76"/>
      <c r="Y100" s="76"/>
      <c r="Z100" s="76"/>
      <c r="AA100" s="76"/>
      <c r="AB100" s="76"/>
      <c r="AC100" s="76"/>
      <c r="AD100" s="76"/>
      <c r="AE100" s="72" t="s">
        <v>796</v>
      </c>
      <c r="AF100" s="74" t="s">
        <v>770</v>
      </c>
      <c r="AG100" s="1109">
        <f>SUMIF(COMPRAS!DC:DC,"SI",COMPRAS!CF:CF)</f>
        <v>0</v>
      </c>
      <c r="AH100" s="1110"/>
      <c r="AI100" s="1110"/>
      <c r="AJ100" s="1110"/>
      <c r="AK100" s="1112"/>
    </row>
    <row r="101" spans="1:37" ht="18.75" customHeight="1" x14ac:dyDescent="0.35">
      <c r="A101" s="41" t="s">
        <v>2077</v>
      </c>
      <c r="B101" s="15"/>
      <c r="C101" s="15"/>
      <c r="D101" s="15"/>
      <c r="E101" s="15"/>
      <c r="F101" s="15"/>
      <c r="G101" s="15"/>
      <c r="H101" s="15"/>
      <c r="I101" s="15"/>
      <c r="J101" s="15"/>
      <c r="K101" s="15"/>
      <c r="L101" s="15"/>
      <c r="M101" s="15"/>
      <c r="N101" s="15"/>
      <c r="O101" s="15"/>
      <c r="P101" s="15"/>
      <c r="Q101" s="15"/>
      <c r="R101" s="15"/>
      <c r="S101" s="15"/>
      <c r="T101" s="15"/>
      <c r="U101" s="73"/>
      <c r="V101" s="15"/>
      <c r="W101" s="15"/>
      <c r="X101" s="15"/>
      <c r="Y101" s="15"/>
      <c r="Z101" s="15"/>
      <c r="AA101" s="15"/>
      <c r="AB101" s="15"/>
      <c r="AC101" s="15"/>
      <c r="AD101" s="15"/>
      <c r="AE101" s="72" t="s">
        <v>795</v>
      </c>
      <c r="AF101" s="74" t="s">
        <v>770</v>
      </c>
      <c r="AG101" s="1109">
        <f>SUMIF(COMPRAS!DC:DC,"SI",COMPRAS!CG:CG)</f>
        <v>0</v>
      </c>
      <c r="AH101" s="1110"/>
      <c r="AI101" s="1110"/>
      <c r="AJ101" s="1110"/>
      <c r="AK101" s="1112"/>
    </row>
    <row r="102" spans="1:37" ht="18.75" customHeight="1" thickBot="1" x14ac:dyDescent="0.4">
      <c r="A102" s="41" t="s">
        <v>2078</v>
      </c>
      <c r="B102" s="15"/>
      <c r="C102" s="15"/>
      <c r="D102" s="15"/>
      <c r="E102" s="15"/>
      <c r="F102" s="15"/>
      <c r="G102" s="15"/>
      <c r="H102" s="15"/>
      <c r="I102" s="15"/>
      <c r="J102" s="15"/>
      <c r="K102" s="15"/>
      <c r="L102" s="15"/>
      <c r="M102" s="15"/>
      <c r="N102" s="15"/>
      <c r="O102" s="15"/>
      <c r="P102" s="15"/>
      <c r="Q102" s="15"/>
      <c r="R102" s="15"/>
      <c r="S102" s="15"/>
      <c r="T102" s="15"/>
      <c r="U102" s="73"/>
      <c r="V102" s="15"/>
      <c r="W102" s="15"/>
      <c r="X102" s="15"/>
      <c r="Y102" s="15"/>
      <c r="Z102" s="15"/>
      <c r="AA102" s="15"/>
      <c r="AB102" s="15"/>
      <c r="AC102" s="15"/>
      <c r="AD102" s="15"/>
      <c r="AE102" s="72" t="s">
        <v>794</v>
      </c>
      <c r="AF102" s="74" t="s">
        <v>770</v>
      </c>
      <c r="AG102" s="1134">
        <f>SUMIF(COMPRAS!DC:DC,"SI",COMPRAS!CH:CH)+SUMIF(COMPRAS!DC:DC,"SI",COMPRAS!CI:CI)</f>
        <v>0</v>
      </c>
      <c r="AH102" s="1135"/>
      <c r="AI102" s="1135"/>
      <c r="AJ102" s="1135"/>
      <c r="AK102" s="1185"/>
    </row>
    <row r="103" spans="1:37" ht="18.75" customHeight="1" thickBot="1" x14ac:dyDescent="0.4">
      <c r="A103" s="71" t="s">
        <v>793</v>
      </c>
      <c r="B103" s="33"/>
      <c r="C103" s="33"/>
      <c r="D103" s="33"/>
      <c r="E103" s="33"/>
      <c r="F103" s="33"/>
      <c r="G103" s="33"/>
      <c r="H103" s="33"/>
      <c r="I103" s="33"/>
      <c r="J103" s="33"/>
      <c r="K103" s="33"/>
      <c r="L103" s="33"/>
      <c r="M103" s="33"/>
      <c r="N103" s="33"/>
      <c r="O103" s="33"/>
      <c r="P103" s="33"/>
      <c r="Q103" s="33"/>
      <c r="R103" s="33"/>
      <c r="S103" s="33"/>
      <c r="T103" s="33"/>
      <c r="U103" s="33"/>
      <c r="V103" s="33"/>
      <c r="W103" s="33"/>
      <c r="X103" s="33"/>
      <c r="Y103" s="33"/>
      <c r="Z103" s="33"/>
      <c r="AA103" s="33"/>
      <c r="AB103" s="33"/>
      <c r="AC103" s="33"/>
      <c r="AD103" s="70" t="s">
        <v>792</v>
      </c>
      <c r="AE103" s="59" t="s">
        <v>791</v>
      </c>
      <c r="AF103" s="58" t="s">
        <v>768</v>
      </c>
      <c r="AG103" s="1131">
        <f>SUM(AG97:AK102)</f>
        <v>0</v>
      </c>
      <c r="AH103" s="1132"/>
      <c r="AI103" s="1132"/>
      <c r="AJ103" s="1132"/>
      <c r="AK103" s="1175"/>
    </row>
    <row r="104" spans="1:37" ht="8.25" customHeight="1" thickBot="1" x14ac:dyDescent="0.4">
      <c r="A104" s="64"/>
      <c r="B104" s="33"/>
      <c r="C104" s="33"/>
      <c r="D104" s="33"/>
      <c r="E104" s="33"/>
      <c r="F104" s="33"/>
      <c r="G104" s="33"/>
      <c r="H104" s="33"/>
      <c r="I104" s="33"/>
      <c r="J104" s="33"/>
      <c r="K104" s="33"/>
      <c r="L104" s="33"/>
      <c r="M104" s="33"/>
      <c r="N104" s="33"/>
      <c r="O104" s="33"/>
      <c r="P104" s="33"/>
      <c r="Q104" s="33"/>
      <c r="R104" s="33"/>
      <c r="S104" s="33"/>
      <c r="T104" s="33"/>
      <c r="U104" s="33"/>
      <c r="V104" s="33"/>
      <c r="W104" s="33"/>
      <c r="X104" s="33"/>
      <c r="Y104" s="33"/>
      <c r="Z104" s="33"/>
      <c r="AA104" s="33"/>
      <c r="AB104" s="33"/>
      <c r="AC104" s="33"/>
      <c r="AD104" s="33"/>
      <c r="AE104" s="63"/>
      <c r="AF104" s="63"/>
      <c r="AG104" s="62"/>
      <c r="AH104" s="62"/>
      <c r="AI104" s="62"/>
      <c r="AJ104" s="62"/>
      <c r="AK104" s="61"/>
    </row>
    <row r="105" spans="1:37" ht="18.75" customHeight="1" x14ac:dyDescent="0.35">
      <c r="A105" s="41" t="s">
        <v>2079</v>
      </c>
      <c r="B105" s="15"/>
      <c r="C105" s="15"/>
      <c r="D105" s="15"/>
      <c r="E105" s="15"/>
      <c r="F105" s="15"/>
      <c r="G105" s="15"/>
      <c r="H105" s="15"/>
      <c r="I105" s="15"/>
      <c r="J105" s="15"/>
      <c r="K105" s="15"/>
      <c r="L105" s="15"/>
      <c r="M105" s="15"/>
      <c r="N105" s="15"/>
      <c r="O105" s="15"/>
      <c r="P105" s="15"/>
      <c r="Q105" s="15"/>
      <c r="R105" s="15"/>
      <c r="S105" s="15"/>
      <c r="T105" s="15"/>
      <c r="U105" s="73"/>
      <c r="V105" s="15"/>
      <c r="W105" s="15"/>
      <c r="X105" s="15"/>
      <c r="Y105" s="15"/>
      <c r="Z105" s="15"/>
      <c r="AA105" s="15"/>
      <c r="AB105" s="15"/>
      <c r="AC105" s="15"/>
      <c r="AD105" s="15"/>
      <c r="AE105" s="72" t="s">
        <v>790</v>
      </c>
      <c r="AF105" s="53" t="s">
        <v>789</v>
      </c>
      <c r="AG105" s="1123">
        <v>0</v>
      </c>
      <c r="AH105" s="1124"/>
      <c r="AI105" s="1124"/>
      <c r="AJ105" s="1124"/>
      <c r="AK105" s="1125"/>
    </row>
    <row r="106" spans="1:37" ht="18.75" customHeight="1" thickBot="1" x14ac:dyDescent="0.4">
      <c r="A106" s="41" t="s">
        <v>2080</v>
      </c>
      <c r="B106" s="15"/>
      <c r="C106" s="15"/>
      <c r="D106" s="15"/>
      <c r="E106" s="15"/>
      <c r="F106" s="15"/>
      <c r="G106" s="15"/>
      <c r="H106" s="15"/>
      <c r="I106" s="15"/>
      <c r="J106" s="15"/>
      <c r="K106" s="15"/>
      <c r="L106" s="15"/>
      <c r="M106" s="15"/>
      <c r="N106" s="15"/>
      <c r="O106" s="15"/>
      <c r="P106" s="15"/>
      <c r="Q106" s="15"/>
      <c r="R106" s="15"/>
      <c r="S106" s="15"/>
      <c r="T106" s="15"/>
      <c r="U106" s="73"/>
      <c r="V106" s="15"/>
      <c r="W106" s="15"/>
      <c r="X106" s="15"/>
      <c r="Y106" s="15"/>
      <c r="Z106" s="15"/>
      <c r="AA106" s="15"/>
      <c r="AB106" s="15"/>
      <c r="AC106" s="15"/>
      <c r="AD106" s="15"/>
      <c r="AE106" s="72" t="s">
        <v>2081</v>
      </c>
      <c r="AF106" s="74" t="s">
        <v>789</v>
      </c>
      <c r="AG106" s="1134">
        <f>SUMIF(COMPRAS!DC:DC,"SI",COMPRAS!CI:CI)</f>
        <v>0</v>
      </c>
      <c r="AH106" s="1135"/>
      <c r="AI106" s="1135"/>
      <c r="AJ106" s="1135"/>
      <c r="AK106" s="1185"/>
    </row>
    <row r="107" spans="1:37" ht="18.75" customHeight="1" thickBot="1" x14ac:dyDescent="0.4">
      <c r="A107" s="71" t="s">
        <v>788</v>
      </c>
      <c r="B107" s="33"/>
      <c r="C107" s="33"/>
      <c r="D107" s="33"/>
      <c r="E107" s="33"/>
      <c r="F107" s="33"/>
      <c r="G107" s="33"/>
      <c r="H107" s="33"/>
      <c r="I107" s="33"/>
      <c r="J107" s="33"/>
      <c r="K107" s="33"/>
      <c r="L107" s="33"/>
      <c r="M107" s="33"/>
      <c r="N107" s="33"/>
      <c r="O107" s="33"/>
      <c r="P107" s="33"/>
      <c r="Q107" s="33"/>
      <c r="R107" s="33"/>
      <c r="S107" s="33"/>
      <c r="T107" s="33"/>
      <c r="U107" s="33"/>
      <c r="V107" s="33"/>
      <c r="W107" s="33"/>
      <c r="X107" s="33"/>
      <c r="Y107" s="33"/>
      <c r="Z107" s="33"/>
      <c r="AA107" s="33"/>
      <c r="AB107" s="33"/>
      <c r="AC107" s="33"/>
      <c r="AD107" s="70" t="s">
        <v>2082</v>
      </c>
      <c r="AE107" s="59" t="s">
        <v>787</v>
      </c>
      <c r="AF107" s="58" t="s">
        <v>768</v>
      </c>
      <c r="AG107" s="1131">
        <f>AG103-AG105-AG106</f>
        <v>0</v>
      </c>
      <c r="AH107" s="1132"/>
      <c r="AI107" s="1132"/>
      <c r="AJ107" s="1132"/>
      <c r="AK107" s="1175"/>
    </row>
    <row r="108" spans="1:37" ht="8.25" customHeight="1" thickBot="1" x14ac:dyDescent="0.4">
      <c r="A108" s="64"/>
      <c r="B108" s="33"/>
      <c r="C108" s="33"/>
      <c r="D108" s="33"/>
      <c r="E108" s="33"/>
      <c r="F108" s="33"/>
      <c r="G108" s="33"/>
      <c r="H108" s="33"/>
      <c r="I108" s="33"/>
      <c r="J108" s="33"/>
      <c r="K108" s="33"/>
      <c r="L108" s="33"/>
      <c r="M108" s="33"/>
      <c r="N108" s="33"/>
      <c r="O108" s="33"/>
      <c r="P108" s="33"/>
      <c r="Q108" s="33"/>
      <c r="R108" s="33"/>
      <c r="S108" s="33"/>
      <c r="T108" s="33"/>
      <c r="U108" s="33"/>
      <c r="V108" s="33"/>
      <c r="W108" s="33"/>
      <c r="X108" s="33"/>
      <c r="Y108" s="33"/>
      <c r="Z108" s="33"/>
      <c r="AA108" s="33"/>
      <c r="AB108" s="33"/>
      <c r="AC108" s="33"/>
      <c r="AD108" s="33"/>
      <c r="AE108" s="63"/>
      <c r="AF108" s="63"/>
      <c r="AG108" s="62"/>
      <c r="AH108" s="62"/>
      <c r="AI108" s="62"/>
      <c r="AJ108" s="62"/>
      <c r="AK108" s="61"/>
    </row>
    <row r="109" spans="1:37" ht="18.75" customHeight="1" thickBot="1" x14ac:dyDescent="0.4">
      <c r="A109" s="64" t="s">
        <v>786</v>
      </c>
      <c r="B109" s="33"/>
      <c r="C109" s="33"/>
      <c r="D109" s="33"/>
      <c r="E109" s="33"/>
      <c r="F109" s="33"/>
      <c r="G109" s="33"/>
      <c r="H109" s="33"/>
      <c r="I109" s="33"/>
      <c r="J109" s="33"/>
      <c r="K109" s="33"/>
      <c r="L109" s="33"/>
      <c r="M109" s="33"/>
      <c r="N109" s="33"/>
      <c r="O109" s="33"/>
      <c r="P109" s="33"/>
      <c r="Q109" s="33"/>
      <c r="R109" s="33"/>
      <c r="S109" s="33"/>
      <c r="T109" s="33"/>
      <c r="U109" s="33"/>
      <c r="V109" s="33"/>
      <c r="W109" s="33"/>
      <c r="X109" s="33"/>
      <c r="Y109" s="33"/>
      <c r="Z109" s="33"/>
      <c r="AA109" s="33"/>
      <c r="AB109" s="33"/>
      <c r="AC109" s="33"/>
      <c r="AD109" s="70" t="s">
        <v>785</v>
      </c>
      <c r="AE109" s="59" t="s">
        <v>784</v>
      </c>
      <c r="AF109" s="58" t="s">
        <v>768</v>
      </c>
      <c r="AG109" s="1131">
        <f>+AG89+AG107</f>
        <v>0</v>
      </c>
      <c r="AH109" s="1132"/>
      <c r="AI109" s="1132"/>
      <c r="AJ109" s="1132"/>
      <c r="AK109" s="1175"/>
    </row>
    <row r="110" spans="1:37" ht="8.25" customHeight="1" thickBot="1" x14ac:dyDescent="0.4">
      <c r="A110" s="64"/>
      <c r="B110" s="33"/>
      <c r="C110" s="33"/>
      <c r="D110" s="33"/>
      <c r="E110" s="33"/>
      <c r="F110" s="33"/>
      <c r="G110" s="33"/>
      <c r="H110" s="33"/>
      <c r="I110" s="33"/>
      <c r="J110" s="33"/>
      <c r="K110" s="33"/>
      <c r="L110" s="33"/>
      <c r="M110" s="33"/>
      <c r="N110" s="33"/>
      <c r="O110" s="33"/>
      <c r="P110" s="33"/>
      <c r="Q110" s="33"/>
      <c r="R110" s="33"/>
      <c r="S110" s="33"/>
      <c r="T110" s="33"/>
      <c r="U110" s="33"/>
      <c r="V110" s="33"/>
      <c r="W110" s="33"/>
      <c r="X110" s="33"/>
      <c r="Y110" s="33"/>
      <c r="Z110" s="33"/>
      <c r="AA110" s="33"/>
      <c r="AB110" s="33"/>
      <c r="AC110" s="33"/>
      <c r="AD110" s="33"/>
      <c r="AE110" s="63"/>
      <c r="AF110" s="63"/>
      <c r="AG110" s="62"/>
      <c r="AH110" s="62"/>
      <c r="AI110" s="62"/>
      <c r="AJ110" s="62"/>
      <c r="AK110" s="61"/>
    </row>
    <row r="111" spans="1:37" ht="18.75" customHeight="1" thickBot="1" x14ac:dyDescent="0.4">
      <c r="A111" s="69" t="s">
        <v>783</v>
      </c>
      <c r="B111" s="33"/>
      <c r="C111" s="33"/>
      <c r="D111" s="33"/>
      <c r="E111" s="33"/>
      <c r="F111" s="33"/>
      <c r="G111" s="33"/>
      <c r="H111" s="33"/>
      <c r="I111" s="33"/>
      <c r="J111" s="33"/>
      <c r="K111" s="33"/>
      <c r="L111" s="33"/>
      <c r="M111" s="33"/>
      <c r="N111" s="33"/>
      <c r="O111" s="33"/>
      <c r="P111" s="33"/>
      <c r="Q111" s="33"/>
      <c r="R111" s="33"/>
      <c r="S111" s="33"/>
      <c r="T111" s="33"/>
      <c r="U111" s="33"/>
      <c r="V111" s="33"/>
      <c r="W111" s="33"/>
      <c r="X111" s="33"/>
      <c r="Y111" s="33"/>
      <c r="Z111" s="33"/>
      <c r="AA111" s="33"/>
      <c r="AB111" s="33"/>
      <c r="AC111" s="33"/>
      <c r="AD111" s="33"/>
      <c r="AE111" s="59" t="s">
        <v>782</v>
      </c>
      <c r="AF111" s="58" t="s">
        <v>768</v>
      </c>
      <c r="AG111" s="1196">
        <f>+I113+V113+AH113</f>
        <v>0</v>
      </c>
      <c r="AH111" s="1194"/>
      <c r="AI111" s="1194"/>
      <c r="AJ111" s="1194"/>
      <c r="AK111" s="1195"/>
    </row>
    <row r="112" spans="1:37" ht="28" customHeight="1" thickBot="1" x14ac:dyDescent="0.4">
      <c r="A112" s="1025" t="s">
        <v>1259</v>
      </c>
      <c r="B112" s="1026"/>
      <c r="C112" s="1026"/>
      <c r="D112" s="1026"/>
      <c r="E112" s="1026"/>
      <c r="F112" s="1026"/>
      <c r="G112" s="1026"/>
      <c r="H112" s="1026"/>
      <c r="I112" s="1026"/>
      <c r="J112" s="1026"/>
      <c r="K112" s="1026"/>
      <c r="L112" s="1026"/>
      <c r="M112" s="1026"/>
      <c r="N112" s="1026"/>
      <c r="O112" s="1026"/>
      <c r="P112" s="1026"/>
      <c r="Q112" s="1026"/>
      <c r="R112" s="1026"/>
      <c r="S112" s="1026"/>
      <c r="T112" s="1026"/>
      <c r="U112" s="1026"/>
      <c r="V112" s="1026"/>
      <c r="W112" s="1026"/>
      <c r="X112" s="1026"/>
      <c r="Y112" s="1026"/>
      <c r="Z112" s="1026"/>
      <c r="AA112" s="1026"/>
      <c r="AB112" s="1026"/>
      <c r="AC112" s="1026"/>
      <c r="AD112" s="1026"/>
      <c r="AE112" s="1026"/>
      <c r="AF112" s="1026"/>
      <c r="AG112" s="1026"/>
      <c r="AH112" s="1026"/>
      <c r="AI112" s="1026"/>
      <c r="AJ112" s="1026"/>
      <c r="AK112" s="1027"/>
    </row>
    <row r="113" spans="1:37" ht="18.75" customHeight="1" thickBot="1" x14ac:dyDescent="0.4">
      <c r="A113" s="1203" t="s">
        <v>780</v>
      </c>
      <c r="B113" s="1204"/>
      <c r="C113" s="1204"/>
      <c r="D113" s="1204"/>
      <c r="E113" s="1204"/>
      <c r="F113" s="1204"/>
      <c r="G113" s="68">
        <v>897</v>
      </c>
      <c r="H113" s="67" t="s">
        <v>753</v>
      </c>
      <c r="I113" s="1194">
        <v>0</v>
      </c>
      <c r="J113" s="1194"/>
      <c r="K113" s="1194"/>
      <c r="L113" s="1195"/>
      <c r="M113" s="1205" t="s">
        <v>779</v>
      </c>
      <c r="N113" s="1206"/>
      <c r="O113" s="1206"/>
      <c r="P113" s="1206"/>
      <c r="Q113" s="1206"/>
      <c r="R113" s="1206"/>
      <c r="S113" s="1206"/>
      <c r="T113" s="66">
        <v>898</v>
      </c>
      <c r="U113" s="67" t="s">
        <v>753</v>
      </c>
      <c r="V113" s="1194">
        <v>0</v>
      </c>
      <c r="W113" s="1194"/>
      <c r="X113" s="1194"/>
      <c r="Y113" s="1194"/>
      <c r="Z113" s="1195"/>
      <c r="AA113" s="1205" t="s">
        <v>778</v>
      </c>
      <c r="AB113" s="1206"/>
      <c r="AC113" s="1206"/>
      <c r="AD113" s="1206"/>
      <c r="AE113" s="1206"/>
      <c r="AF113" s="66">
        <v>899</v>
      </c>
      <c r="AG113" s="65" t="s">
        <v>753</v>
      </c>
      <c r="AH113" s="1194">
        <v>0</v>
      </c>
      <c r="AI113" s="1194"/>
      <c r="AJ113" s="1194"/>
      <c r="AK113" s="1195"/>
    </row>
    <row r="114" spans="1:37" ht="8.25" customHeight="1" thickBot="1" x14ac:dyDescent="0.4">
      <c r="A114" s="64"/>
      <c r="B114" s="33"/>
      <c r="C114" s="33"/>
      <c r="D114" s="33"/>
      <c r="E114" s="33"/>
      <c r="F114" s="33"/>
      <c r="G114" s="33"/>
      <c r="H114" s="33"/>
      <c r="I114" s="33"/>
      <c r="J114" s="33"/>
      <c r="K114" s="33"/>
      <c r="L114" s="33"/>
      <c r="M114" s="33"/>
      <c r="N114" s="33"/>
      <c r="O114" s="33"/>
      <c r="P114" s="33"/>
      <c r="Q114" s="33"/>
      <c r="R114" s="33"/>
      <c r="S114" s="33"/>
      <c r="T114" s="33"/>
      <c r="U114" s="33"/>
      <c r="V114" s="33"/>
      <c r="W114" s="33"/>
      <c r="X114" s="33"/>
      <c r="Y114" s="33"/>
      <c r="Z114" s="33"/>
      <c r="AA114" s="33"/>
      <c r="AB114" s="33"/>
      <c r="AC114" s="33"/>
      <c r="AD114" s="33"/>
      <c r="AE114" s="63"/>
      <c r="AF114" s="63"/>
      <c r="AG114" s="62"/>
      <c r="AH114" s="62"/>
      <c r="AI114" s="62"/>
      <c r="AJ114" s="62"/>
      <c r="AK114" s="61"/>
    </row>
    <row r="115" spans="1:37" ht="18.75" customHeight="1" thickBot="1" x14ac:dyDescent="0.4">
      <c r="A115" s="60" t="s">
        <v>2083</v>
      </c>
      <c r="B115" s="33"/>
      <c r="C115" s="33"/>
      <c r="D115" s="33"/>
      <c r="E115" s="33"/>
      <c r="F115" s="33"/>
      <c r="G115" s="33"/>
      <c r="H115" s="33"/>
      <c r="I115" s="33"/>
      <c r="J115" s="33"/>
      <c r="K115" s="33"/>
      <c r="L115" s="33"/>
      <c r="M115" s="33"/>
      <c r="N115" s="33"/>
      <c r="O115" s="33"/>
      <c r="P115" s="33"/>
      <c r="Q115" s="33"/>
      <c r="R115" s="33"/>
      <c r="S115" s="33"/>
      <c r="T115" s="33"/>
      <c r="U115" s="33"/>
      <c r="V115" s="33"/>
      <c r="W115" s="33"/>
      <c r="X115" s="33"/>
      <c r="Y115" s="33"/>
      <c r="Z115" s="33"/>
      <c r="AA115" s="33"/>
      <c r="AB115" s="33"/>
      <c r="AC115" s="33"/>
      <c r="AD115" s="33"/>
      <c r="AE115" s="59" t="s">
        <v>776</v>
      </c>
      <c r="AF115" s="58" t="s">
        <v>768</v>
      </c>
      <c r="AG115" s="1196">
        <v>0</v>
      </c>
      <c r="AH115" s="1194"/>
      <c r="AI115" s="1194"/>
      <c r="AJ115" s="1194"/>
      <c r="AK115" s="1195"/>
    </row>
    <row r="116" spans="1:37" ht="8.25" customHeight="1" thickBot="1" x14ac:dyDescent="0.4">
      <c r="A116" s="34"/>
      <c r="B116" s="33"/>
      <c r="C116" s="33"/>
      <c r="D116" s="33"/>
      <c r="E116" s="33"/>
      <c r="F116" s="33"/>
      <c r="G116" s="33"/>
      <c r="H116" s="33"/>
      <c r="I116" s="33"/>
      <c r="J116" s="33"/>
      <c r="K116" s="33"/>
      <c r="L116" s="33"/>
      <c r="M116" s="33"/>
      <c r="N116" s="33"/>
      <c r="O116" s="33"/>
      <c r="P116" s="33"/>
      <c r="Q116" s="33"/>
      <c r="R116" s="33"/>
      <c r="S116" s="33"/>
      <c r="T116" s="33"/>
      <c r="U116" s="33"/>
      <c r="V116" s="33"/>
      <c r="W116" s="33"/>
      <c r="X116" s="33"/>
      <c r="Y116" s="33"/>
      <c r="Z116" s="33"/>
      <c r="AA116" s="33"/>
      <c r="AB116" s="33"/>
      <c r="AC116" s="33"/>
      <c r="AD116" s="33"/>
      <c r="AE116" s="33"/>
      <c r="AF116" s="33"/>
      <c r="AG116" s="57"/>
      <c r="AH116" s="57"/>
      <c r="AI116" s="33"/>
      <c r="AJ116" s="57"/>
      <c r="AK116" s="56"/>
    </row>
    <row r="117" spans="1:37" ht="19.5" customHeight="1" thickBot="1" x14ac:dyDescent="0.4">
      <c r="A117" s="50" t="s">
        <v>1260</v>
      </c>
      <c r="B117" s="49"/>
      <c r="C117" s="49"/>
      <c r="D117" s="49"/>
      <c r="E117" s="49"/>
      <c r="F117" s="49"/>
      <c r="G117" s="49"/>
      <c r="H117" s="49"/>
      <c r="I117" s="49"/>
      <c r="J117" s="49"/>
      <c r="K117" s="49"/>
      <c r="L117" s="49"/>
      <c r="M117" s="49"/>
      <c r="N117" s="49"/>
      <c r="O117" s="49"/>
      <c r="P117" s="49"/>
      <c r="Q117" s="49"/>
      <c r="R117" s="49"/>
      <c r="S117" s="49"/>
      <c r="T117" s="49"/>
      <c r="U117" s="49"/>
      <c r="V117" s="49"/>
      <c r="W117" s="49"/>
      <c r="X117" s="49"/>
      <c r="Y117" s="49"/>
      <c r="Z117" s="49"/>
      <c r="AA117" s="49"/>
      <c r="AB117" s="49"/>
      <c r="AC117" s="49"/>
      <c r="AD117" s="49"/>
      <c r="AE117" s="49"/>
      <c r="AF117" s="49"/>
      <c r="AG117" s="49"/>
      <c r="AH117" s="49"/>
      <c r="AI117" s="49"/>
      <c r="AJ117" s="49"/>
      <c r="AK117" s="48"/>
    </row>
    <row r="118" spans="1:37" ht="18.75" customHeight="1" x14ac:dyDescent="0.35">
      <c r="A118" s="42" t="s">
        <v>774</v>
      </c>
      <c r="B118" s="15"/>
      <c r="C118" s="15"/>
      <c r="D118" s="15"/>
      <c r="E118" s="15"/>
      <c r="F118" s="15"/>
      <c r="G118" s="15"/>
      <c r="H118" s="15"/>
      <c r="I118" s="15"/>
      <c r="J118" s="15"/>
      <c r="K118" s="15"/>
      <c r="L118" s="15"/>
      <c r="M118" s="15"/>
      <c r="N118" s="15"/>
      <c r="O118" s="15"/>
      <c r="P118" s="15"/>
      <c r="Q118" s="15"/>
      <c r="R118" s="15"/>
      <c r="S118" s="15"/>
      <c r="T118" s="15"/>
      <c r="U118" s="15"/>
      <c r="V118" s="15"/>
      <c r="W118" s="15"/>
      <c r="X118" s="15"/>
      <c r="Y118" s="15"/>
      <c r="Z118" s="15"/>
      <c r="AA118" s="15"/>
      <c r="AB118" s="15"/>
      <c r="AC118" s="15"/>
      <c r="AD118" s="15"/>
      <c r="AE118" s="15"/>
      <c r="AF118" s="55" t="s">
        <v>773</v>
      </c>
      <c r="AG118" s="54">
        <v>902</v>
      </c>
      <c r="AH118" s="53" t="s">
        <v>770</v>
      </c>
      <c r="AI118" s="1123">
        <f>+AG109-V113</f>
        <v>0</v>
      </c>
      <c r="AJ118" s="1124"/>
      <c r="AK118" s="1125"/>
    </row>
    <row r="119" spans="1:37" ht="18.75" customHeight="1" x14ac:dyDescent="0.35">
      <c r="A119" s="42" t="s">
        <v>772</v>
      </c>
      <c r="B119" s="15"/>
      <c r="C119" s="15"/>
      <c r="D119" s="15"/>
      <c r="E119" s="15"/>
      <c r="F119" s="15"/>
      <c r="G119" s="15"/>
      <c r="H119" s="15"/>
      <c r="I119" s="15"/>
      <c r="J119" s="15"/>
      <c r="K119" s="15"/>
      <c r="L119" s="15"/>
      <c r="M119" s="15"/>
      <c r="N119" s="15"/>
      <c r="O119" s="15"/>
      <c r="P119" s="15"/>
      <c r="Q119" s="15"/>
      <c r="R119" s="15"/>
      <c r="S119" s="15"/>
      <c r="T119" s="15"/>
      <c r="U119" s="15"/>
      <c r="V119" s="15"/>
      <c r="W119" s="15"/>
      <c r="X119" s="15"/>
      <c r="Y119" s="15"/>
      <c r="Z119" s="15"/>
      <c r="AA119" s="15"/>
      <c r="AB119" s="15"/>
      <c r="AC119" s="15"/>
      <c r="AD119" s="15"/>
      <c r="AE119" s="15"/>
      <c r="AF119" s="43"/>
      <c r="AG119" s="54">
        <v>903</v>
      </c>
      <c r="AH119" s="53" t="s">
        <v>770</v>
      </c>
      <c r="AI119" s="1109">
        <v>0</v>
      </c>
      <c r="AJ119" s="1110"/>
      <c r="AK119" s="1112"/>
    </row>
    <row r="120" spans="1:37" ht="18.75" customHeight="1" thickBot="1" x14ac:dyDescent="0.4">
      <c r="A120" s="38" t="s">
        <v>771</v>
      </c>
      <c r="B120" s="37"/>
      <c r="C120" s="37"/>
      <c r="D120" s="37"/>
      <c r="E120" s="37"/>
      <c r="F120" s="37"/>
      <c r="G120" s="37"/>
      <c r="H120" s="37"/>
      <c r="I120" s="37"/>
      <c r="J120" s="37"/>
      <c r="K120" s="37"/>
      <c r="L120" s="37"/>
      <c r="M120" s="37"/>
      <c r="N120" s="37"/>
      <c r="O120" s="37"/>
      <c r="P120" s="37"/>
      <c r="Q120" s="37"/>
      <c r="R120" s="37"/>
      <c r="S120" s="37"/>
      <c r="T120" s="37"/>
      <c r="U120" s="37"/>
      <c r="V120" s="37"/>
      <c r="W120" s="37"/>
      <c r="X120" s="37"/>
      <c r="Y120" s="37"/>
      <c r="Z120" s="37"/>
      <c r="AA120" s="37"/>
      <c r="AB120" s="37"/>
      <c r="AC120" s="37"/>
      <c r="AD120" s="37"/>
      <c r="AE120" s="37"/>
      <c r="AG120" s="52">
        <v>904</v>
      </c>
      <c r="AH120" s="51" t="s">
        <v>770</v>
      </c>
      <c r="AI120" s="1134">
        <v>0</v>
      </c>
      <c r="AJ120" s="1135"/>
      <c r="AK120" s="1185"/>
    </row>
    <row r="121" spans="1:37" ht="19.5" customHeight="1" thickBot="1" x14ac:dyDescent="0.4">
      <c r="A121" s="50" t="s">
        <v>769</v>
      </c>
      <c r="B121" s="49"/>
      <c r="C121" s="49"/>
      <c r="D121" s="49"/>
      <c r="E121" s="49"/>
      <c r="F121" s="49"/>
      <c r="G121" s="49"/>
      <c r="H121" s="49"/>
      <c r="I121" s="49"/>
      <c r="J121" s="49"/>
      <c r="K121" s="49"/>
      <c r="L121" s="49"/>
      <c r="M121" s="49"/>
      <c r="N121" s="49"/>
      <c r="O121" s="49"/>
      <c r="P121" s="49"/>
      <c r="Q121" s="49"/>
      <c r="R121" s="49"/>
      <c r="S121" s="49"/>
      <c r="T121" s="49"/>
      <c r="U121" s="49"/>
      <c r="V121" s="49"/>
      <c r="W121" s="49"/>
      <c r="X121" s="49"/>
      <c r="Y121" s="49"/>
      <c r="Z121" s="49"/>
      <c r="AA121" s="49"/>
      <c r="AB121" s="49"/>
      <c r="AC121" s="49"/>
      <c r="AD121" s="49"/>
      <c r="AE121" s="49"/>
      <c r="AF121" s="48"/>
      <c r="AG121" s="47">
        <v>999</v>
      </c>
      <c r="AH121" s="46" t="s">
        <v>768</v>
      </c>
      <c r="AI121" s="1131">
        <f>SUM(AI118:AK120)</f>
        <v>0</v>
      </c>
      <c r="AJ121" s="1132"/>
      <c r="AK121" s="1175"/>
    </row>
    <row r="122" spans="1:37" ht="18.75" customHeight="1" x14ac:dyDescent="0.35">
      <c r="A122" s="45" t="s">
        <v>767</v>
      </c>
      <c r="B122" s="43"/>
      <c r="C122" s="43"/>
      <c r="D122" s="43"/>
      <c r="E122" s="43"/>
      <c r="F122" s="44"/>
      <c r="G122" s="43"/>
      <c r="H122" s="43"/>
      <c r="I122" s="43"/>
      <c r="J122" s="43"/>
      <c r="K122" s="43"/>
      <c r="L122" s="43"/>
      <c r="M122" s="43"/>
      <c r="N122" s="43"/>
      <c r="O122" s="43"/>
      <c r="P122" s="43"/>
      <c r="Q122" s="43"/>
      <c r="R122" s="43"/>
      <c r="S122" s="43"/>
      <c r="T122" s="43"/>
      <c r="U122" s="43"/>
      <c r="V122" s="43"/>
      <c r="W122" s="43"/>
      <c r="X122" s="43"/>
      <c r="Y122" s="43"/>
      <c r="Z122" s="43"/>
      <c r="AA122" s="43"/>
      <c r="AB122" s="43"/>
      <c r="AC122" s="43"/>
      <c r="AD122" s="43"/>
      <c r="AE122" s="43"/>
      <c r="AF122" s="43"/>
      <c r="AG122" s="40" t="s">
        <v>766</v>
      </c>
      <c r="AH122" s="39" t="s">
        <v>753</v>
      </c>
      <c r="AI122" s="1124">
        <f>+AI121</f>
        <v>0</v>
      </c>
      <c r="AJ122" s="1124"/>
      <c r="AK122" s="1125"/>
    </row>
    <row r="123" spans="1:37" ht="18.75" customHeight="1" x14ac:dyDescent="0.35">
      <c r="A123" s="42" t="s">
        <v>765</v>
      </c>
      <c r="B123" s="15"/>
      <c r="C123" s="15"/>
      <c r="D123" s="15"/>
      <c r="E123" s="15"/>
      <c r="F123" s="41"/>
      <c r="G123" s="15"/>
      <c r="H123" s="15"/>
      <c r="I123" s="15"/>
      <c r="J123" s="15"/>
      <c r="K123" s="15"/>
      <c r="L123" s="15"/>
      <c r="M123" s="15"/>
      <c r="N123" s="15"/>
      <c r="O123" s="15"/>
      <c r="P123" s="15"/>
      <c r="Q123" s="15"/>
      <c r="R123" s="15"/>
      <c r="S123" s="15"/>
      <c r="T123" s="15"/>
      <c r="U123" s="15"/>
      <c r="V123" s="15"/>
      <c r="W123" s="15"/>
      <c r="X123" s="15"/>
      <c r="Y123" s="15"/>
      <c r="Z123" s="15"/>
      <c r="AA123" s="15"/>
      <c r="AB123" s="15"/>
      <c r="AC123" s="15"/>
      <c r="AD123" s="15"/>
      <c r="AE123" s="15"/>
      <c r="AF123" s="15"/>
      <c r="AG123" s="40" t="s">
        <v>764</v>
      </c>
      <c r="AH123" s="39" t="s">
        <v>753</v>
      </c>
      <c r="AI123" s="1110">
        <v>0</v>
      </c>
      <c r="AJ123" s="1110"/>
      <c r="AK123" s="1112"/>
    </row>
    <row r="124" spans="1:37" ht="18.75" customHeight="1" x14ac:dyDescent="0.35">
      <c r="A124" s="38" t="s">
        <v>763</v>
      </c>
      <c r="B124" s="37"/>
      <c r="C124" s="37"/>
      <c r="D124" s="37"/>
      <c r="E124" s="37"/>
      <c r="F124" s="37"/>
      <c r="G124" s="37"/>
      <c r="H124" s="37"/>
      <c r="I124" s="37"/>
      <c r="J124" s="37"/>
      <c r="K124" s="37"/>
      <c r="L124" s="37"/>
      <c r="M124" s="37"/>
      <c r="N124" s="37"/>
      <c r="O124" s="37"/>
      <c r="P124" s="37"/>
      <c r="Q124" s="37"/>
      <c r="R124" s="37"/>
      <c r="S124" s="37"/>
      <c r="T124" s="37"/>
      <c r="U124" s="37"/>
      <c r="V124" s="37"/>
      <c r="W124" s="37"/>
      <c r="X124" s="37"/>
      <c r="Y124" s="37"/>
      <c r="Z124" s="37"/>
      <c r="AA124" s="37"/>
      <c r="AB124" s="37"/>
      <c r="AC124" s="37"/>
      <c r="AD124" s="37"/>
      <c r="AE124" s="37"/>
      <c r="AF124" s="37"/>
      <c r="AG124" s="36" t="s">
        <v>762</v>
      </c>
      <c r="AH124" s="35" t="s">
        <v>753</v>
      </c>
      <c r="AI124" s="1110">
        <v>0</v>
      </c>
      <c r="AJ124" s="1110"/>
      <c r="AK124" s="1112"/>
    </row>
    <row r="125" spans="1:37" ht="18.75" customHeight="1" thickBot="1" x14ac:dyDescent="0.4">
      <c r="A125" s="38" t="s">
        <v>761</v>
      </c>
      <c r="B125" s="37"/>
      <c r="C125" s="37"/>
      <c r="D125" s="37"/>
      <c r="E125" s="37"/>
      <c r="F125" s="37"/>
      <c r="G125" s="37"/>
      <c r="H125" s="37"/>
      <c r="I125" s="37"/>
      <c r="J125" s="37"/>
      <c r="K125" s="37"/>
      <c r="L125" s="37"/>
      <c r="M125" s="37"/>
      <c r="N125" s="37"/>
      <c r="O125" s="37"/>
      <c r="P125" s="37"/>
      <c r="Q125" s="37"/>
      <c r="R125" s="37"/>
      <c r="S125" s="37"/>
      <c r="T125" s="37"/>
      <c r="U125" s="37"/>
      <c r="V125" s="37"/>
      <c r="W125" s="37"/>
      <c r="X125" s="37"/>
      <c r="Y125" s="37"/>
      <c r="Z125" s="37"/>
      <c r="AA125" s="37"/>
      <c r="AB125" s="37"/>
      <c r="AC125" s="37"/>
      <c r="AD125" s="37"/>
      <c r="AE125" s="37"/>
      <c r="AF125" s="37"/>
      <c r="AG125" s="36" t="s">
        <v>760</v>
      </c>
      <c r="AH125" s="35" t="s">
        <v>753</v>
      </c>
      <c r="AI125" s="1135">
        <v>0</v>
      </c>
      <c r="AJ125" s="1135"/>
      <c r="AK125" s="1185"/>
    </row>
    <row r="126" spans="1:37" ht="32.25" customHeight="1" thickBot="1" x14ac:dyDescent="0.4">
      <c r="A126" s="34" t="s">
        <v>759</v>
      </c>
      <c r="B126" s="33"/>
      <c r="C126" s="33"/>
      <c r="D126" s="33"/>
      <c r="E126" s="33"/>
      <c r="F126" s="33"/>
      <c r="G126" s="33"/>
      <c r="H126" s="33"/>
      <c r="I126" s="33"/>
      <c r="J126" s="33"/>
      <c r="K126" s="33"/>
      <c r="L126" s="33"/>
      <c r="M126" s="33"/>
      <c r="N126" s="33"/>
      <c r="O126" s="33"/>
      <c r="P126" s="1197" t="s">
        <v>758</v>
      </c>
      <c r="Q126" s="1198"/>
      <c r="R126" s="1198"/>
      <c r="S126" s="1198"/>
      <c r="T126" s="1199"/>
      <c r="U126" s="1200" t="s">
        <v>757</v>
      </c>
      <c r="V126" s="1201"/>
      <c r="W126" s="1201"/>
      <c r="X126" s="1201"/>
      <c r="Y126" s="1201"/>
      <c r="Z126" s="1201"/>
      <c r="AA126" s="1201"/>
      <c r="AB126" s="1201"/>
      <c r="AC126" s="1201"/>
      <c r="AD126" s="1201"/>
      <c r="AE126" s="1202"/>
      <c r="AF126" s="1197" t="s">
        <v>756</v>
      </c>
      <c r="AG126" s="1198"/>
      <c r="AH126" s="1198"/>
      <c r="AI126" s="1198"/>
      <c r="AJ126" s="1198"/>
      <c r="AK126" s="1199"/>
    </row>
    <row r="127" spans="1:37" ht="18.75" customHeight="1" x14ac:dyDescent="0.35">
      <c r="A127" s="32">
        <v>908</v>
      </c>
      <c r="B127" s="30" t="s">
        <v>755</v>
      </c>
      <c r="C127" s="1009"/>
      <c r="D127" s="1009"/>
      <c r="E127" s="1186"/>
      <c r="F127" s="31">
        <v>910</v>
      </c>
      <c r="G127" s="30" t="s">
        <v>755</v>
      </c>
      <c r="H127" s="1009"/>
      <c r="I127" s="1009"/>
      <c r="J127" s="1186"/>
      <c r="K127" s="31">
        <v>912</v>
      </c>
      <c r="L127" s="30" t="s">
        <v>755</v>
      </c>
      <c r="M127" s="1009"/>
      <c r="N127" s="1009"/>
      <c r="O127" s="1186"/>
      <c r="P127" s="1017"/>
      <c r="Q127" s="1018"/>
      <c r="R127" s="1018"/>
      <c r="S127" s="1018"/>
      <c r="T127" s="1019"/>
      <c r="U127" s="32">
        <v>916</v>
      </c>
      <c r="V127" s="30" t="s">
        <v>754</v>
      </c>
      <c r="W127" s="1009"/>
      <c r="X127" s="1009"/>
      <c r="Y127" s="1009"/>
      <c r="Z127" s="1186"/>
      <c r="AA127" s="31">
        <v>918</v>
      </c>
      <c r="AB127" s="30" t="s">
        <v>754</v>
      </c>
      <c r="AC127" s="1009"/>
      <c r="AD127" s="1009"/>
      <c r="AE127" s="1186"/>
      <c r="AF127" s="1017"/>
      <c r="AG127" s="1018"/>
      <c r="AH127" s="1018"/>
      <c r="AI127" s="1018"/>
      <c r="AJ127" s="1018"/>
      <c r="AK127" s="1019"/>
    </row>
    <row r="128" spans="1:37" ht="18.75" customHeight="1" thickBot="1" x14ac:dyDescent="0.4">
      <c r="A128" s="28">
        <v>909</v>
      </c>
      <c r="B128" s="26" t="s">
        <v>753</v>
      </c>
      <c r="C128" s="1135">
        <v>0</v>
      </c>
      <c r="D128" s="1135"/>
      <c r="E128" s="1136"/>
      <c r="F128" s="29">
        <v>911</v>
      </c>
      <c r="G128" s="26" t="s">
        <v>753</v>
      </c>
      <c r="H128" s="1135">
        <v>0</v>
      </c>
      <c r="I128" s="1135"/>
      <c r="J128" s="1136"/>
      <c r="K128" s="27">
        <v>913</v>
      </c>
      <c r="L128" s="26" t="s">
        <v>753</v>
      </c>
      <c r="M128" s="1135">
        <v>0</v>
      </c>
      <c r="N128" s="1135"/>
      <c r="O128" s="1136"/>
      <c r="P128" s="27">
        <v>915</v>
      </c>
      <c r="Q128" s="26" t="s">
        <v>753</v>
      </c>
      <c r="R128" s="1135">
        <v>0</v>
      </c>
      <c r="S128" s="1135"/>
      <c r="T128" s="1185"/>
      <c r="U128" s="28">
        <v>917</v>
      </c>
      <c r="V128" s="26" t="s">
        <v>753</v>
      </c>
      <c r="W128" s="1135">
        <v>0</v>
      </c>
      <c r="X128" s="1135"/>
      <c r="Y128" s="1135"/>
      <c r="Z128" s="1136"/>
      <c r="AA128" s="27">
        <v>919</v>
      </c>
      <c r="AB128" s="26" t="s">
        <v>753</v>
      </c>
      <c r="AC128" s="1135">
        <v>0</v>
      </c>
      <c r="AD128" s="1135"/>
      <c r="AE128" s="1136"/>
      <c r="AF128" s="27">
        <v>920</v>
      </c>
      <c r="AG128" s="26" t="s">
        <v>753</v>
      </c>
      <c r="AH128" s="1135">
        <v>0</v>
      </c>
      <c r="AI128" s="1135"/>
      <c r="AJ128" s="1135"/>
      <c r="AK128" s="1185"/>
    </row>
    <row r="129" spans="1:37" ht="22.5" customHeight="1" x14ac:dyDescent="0.35">
      <c r="A129" s="1189" t="s">
        <v>752</v>
      </c>
      <c r="B129" s="1190"/>
      <c r="C129" s="1190"/>
      <c r="D129" s="1190"/>
      <c r="E129" s="1190"/>
      <c r="F129" s="1190"/>
      <c r="G129" s="1190"/>
      <c r="H129" s="1190"/>
      <c r="I129" s="1190"/>
      <c r="J129" s="1190"/>
      <c r="K129" s="1190"/>
      <c r="L129" s="1190"/>
      <c r="M129" s="1190"/>
      <c r="N129" s="1190"/>
      <c r="O129" s="1190"/>
      <c r="P129" s="1190"/>
      <c r="Q129" s="1190"/>
      <c r="R129" s="1190"/>
      <c r="S129" s="1190"/>
      <c r="T129" s="1190"/>
      <c r="U129" s="1190"/>
      <c r="V129" s="1190"/>
      <c r="W129" s="1190"/>
      <c r="X129" s="1190"/>
      <c r="Y129" s="1190"/>
      <c r="Z129" s="1190"/>
      <c r="AA129" s="1190"/>
      <c r="AB129" s="1190"/>
      <c r="AC129" s="1190"/>
      <c r="AD129" s="1190"/>
      <c r="AE129" s="1190"/>
      <c r="AF129" s="1190"/>
      <c r="AG129" s="1190"/>
      <c r="AH129" s="1190"/>
      <c r="AI129" s="1190"/>
      <c r="AJ129" s="1190"/>
      <c r="AK129" s="1191"/>
    </row>
    <row r="130" spans="1:37" ht="15.75" customHeight="1" x14ac:dyDescent="0.35">
      <c r="A130" s="23"/>
      <c r="C130" s="20"/>
      <c r="D130" s="20"/>
      <c r="E130" s="20"/>
      <c r="F130" s="20"/>
      <c r="AK130" s="19"/>
    </row>
    <row r="131" spans="1:37" ht="15.75" customHeight="1" x14ac:dyDescent="0.35">
      <c r="A131" s="25"/>
      <c r="B131" s="24"/>
      <c r="C131" s="20"/>
      <c r="D131" s="20"/>
      <c r="E131" s="20"/>
      <c r="F131" s="20"/>
      <c r="G131" s="24"/>
      <c r="H131" s="24"/>
      <c r="I131" s="24"/>
      <c r="J131" s="24"/>
      <c r="K131" s="24"/>
      <c r="L131" s="24"/>
      <c r="M131" s="24"/>
      <c r="N131" s="24"/>
      <c r="O131" s="24"/>
      <c r="P131" s="24"/>
      <c r="Q131" s="24"/>
      <c r="R131" s="24"/>
      <c r="S131" s="24"/>
      <c r="T131" s="24"/>
      <c r="U131" s="24"/>
      <c r="AK131" s="19"/>
    </row>
    <row r="132" spans="1:37" ht="12.75" customHeight="1" x14ac:dyDescent="0.35">
      <c r="A132" s="25"/>
      <c r="B132" s="24"/>
      <c r="C132" s="20"/>
      <c r="D132" s="20"/>
      <c r="E132" s="20"/>
      <c r="F132" s="20"/>
      <c r="G132" s="24"/>
      <c r="H132" s="24"/>
      <c r="I132" s="24"/>
      <c r="J132" s="24"/>
      <c r="K132" s="24"/>
      <c r="L132" s="24"/>
      <c r="M132" s="24"/>
      <c r="N132" s="24"/>
      <c r="O132" s="24"/>
      <c r="P132" s="24"/>
      <c r="Q132" s="24"/>
      <c r="R132" s="24"/>
      <c r="S132" s="24"/>
      <c r="T132" s="24"/>
      <c r="U132" s="24"/>
      <c r="AK132" s="19"/>
    </row>
    <row r="133" spans="1:37" ht="18" customHeight="1" thickBot="1" x14ac:dyDescent="0.4">
      <c r="A133" s="23"/>
      <c r="B133" s="20"/>
      <c r="C133" s="20"/>
      <c r="D133" s="20"/>
      <c r="E133" s="20"/>
      <c r="F133" s="20"/>
      <c r="G133" s="21"/>
      <c r="H133" s="22" t="s">
        <v>751</v>
      </c>
      <c r="J133" s="20"/>
      <c r="K133" s="21"/>
      <c r="L133" s="21"/>
      <c r="Q133" s="20" t="s">
        <v>750</v>
      </c>
      <c r="R133" s="20"/>
      <c r="S133" s="20"/>
      <c r="T133" s="20"/>
      <c r="U133" s="20"/>
      <c r="AB133" s="20" t="s">
        <v>749</v>
      </c>
      <c r="AC133" s="20"/>
      <c r="AK133" s="19"/>
    </row>
    <row r="134" spans="1:37" ht="22.5" customHeight="1" thickBot="1" x14ac:dyDescent="0.4">
      <c r="A134" s="18" t="s">
        <v>748</v>
      </c>
      <c r="B134" s="17"/>
      <c r="C134" s="1192" t="str">
        <f>Parametros!D6</f>
        <v>JAVIER VELIZ NAPA</v>
      </c>
      <c r="D134" s="1188"/>
      <c r="E134" s="1188"/>
      <c r="F134" s="1188"/>
      <c r="G134" s="1188"/>
      <c r="H134" s="1188"/>
      <c r="I134" s="1188"/>
      <c r="J134" s="1188"/>
      <c r="K134" s="1188"/>
      <c r="L134" s="1188"/>
      <c r="M134" s="1188"/>
      <c r="N134" s="1188"/>
      <c r="O134" s="1188"/>
      <c r="P134" s="1188"/>
      <c r="Q134" s="1188"/>
      <c r="R134" s="1188"/>
      <c r="S134" s="1188"/>
      <c r="T134" s="1193"/>
      <c r="U134" s="18" t="s">
        <v>748</v>
      </c>
      <c r="V134" s="17"/>
      <c r="W134" s="16"/>
      <c r="X134" s="1187" t="str">
        <f>Parametros!D8</f>
        <v>LOURDES GOMEZ SOLIS</v>
      </c>
      <c r="Y134" s="1188"/>
      <c r="Z134" s="1188"/>
      <c r="AA134" s="1188"/>
      <c r="AB134" s="1188"/>
      <c r="AC134" s="1188"/>
      <c r="AD134" s="1188"/>
      <c r="AE134" s="1188"/>
      <c r="AF134" s="1188"/>
      <c r="AG134" s="1188"/>
      <c r="AH134" s="15"/>
      <c r="AI134" s="15"/>
      <c r="AJ134" s="15"/>
      <c r="AK134" s="14"/>
    </row>
    <row r="135" spans="1:37" ht="22.5" customHeight="1" thickBot="1" x14ac:dyDescent="0.4">
      <c r="A135" s="8">
        <v>198</v>
      </c>
      <c r="B135" s="7" t="s">
        <v>747</v>
      </c>
      <c r="C135" s="13"/>
      <c r="D135" s="13"/>
      <c r="E135" s="11"/>
      <c r="F135" s="12"/>
      <c r="G135" s="11"/>
      <c r="H135" s="5"/>
      <c r="I135" s="1135" t="str">
        <f>Parametros!D7</f>
        <v>1234567890001</v>
      </c>
      <c r="J135" s="1135"/>
      <c r="K135" s="1135"/>
      <c r="L135" s="1135"/>
      <c r="M135" s="1135"/>
      <c r="N135" s="1135"/>
      <c r="O135" s="1135"/>
      <c r="P135" s="10"/>
      <c r="Q135" s="10"/>
      <c r="R135" s="10"/>
      <c r="S135" s="10"/>
      <c r="T135" s="9"/>
      <c r="U135" s="8">
        <v>199</v>
      </c>
      <c r="V135" s="7" t="s">
        <v>746</v>
      </c>
      <c r="W135" s="6"/>
      <c r="X135" s="1135" t="str">
        <f>Parametros!D9</f>
        <v>1234567890001</v>
      </c>
      <c r="Y135" s="1135"/>
      <c r="Z135" s="1135"/>
      <c r="AA135" s="1135"/>
      <c r="AB135" s="1135"/>
      <c r="AC135" s="1135"/>
      <c r="AD135" s="1135"/>
      <c r="AE135" s="1135"/>
      <c r="AF135" s="1135"/>
      <c r="AG135" s="1135"/>
      <c r="AH135" s="5"/>
      <c r="AI135" s="5"/>
      <c r="AJ135" s="5"/>
      <c r="AK135" s="4"/>
    </row>
  </sheetData>
  <mergeCells count="235">
    <mergeCell ref="Z50:AD50"/>
    <mergeCell ref="R44:V44"/>
    <mergeCell ref="X57:AD57"/>
    <mergeCell ref="Z52:AD52"/>
    <mergeCell ref="Z44:AD44"/>
    <mergeCell ref="AG47:AK47"/>
    <mergeCell ref="AG48:AK48"/>
    <mergeCell ref="AG60:AK60"/>
    <mergeCell ref="AF59:AK59"/>
    <mergeCell ref="R57:V57"/>
    <mergeCell ref="R52:V52"/>
    <mergeCell ref="X55:AD55"/>
    <mergeCell ref="AF57:AK57"/>
    <mergeCell ref="R51:V51"/>
    <mergeCell ref="AF56:AK56"/>
    <mergeCell ref="AG52:AK52"/>
    <mergeCell ref="X54:AD54"/>
    <mergeCell ref="AE53:AK55"/>
    <mergeCell ref="R54:V54"/>
    <mergeCell ref="AG71:AK71"/>
    <mergeCell ref="AG81:AK81"/>
    <mergeCell ref="AG39:AK39"/>
    <mergeCell ref="Z40:AD40"/>
    <mergeCell ref="AE38:AK38"/>
    <mergeCell ref="R39:V39"/>
    <mergeCell ref="R50:V50"/>
    <mergeCell ref="AG40:AK40"/>
    <mergeCell ref="R40:V40"/>
    <mergeCell ref="R43:V43"/>
    <mergeCell ref="AG43:AK43"/>
    <mergeCell ref="Z39:AD39"/>
    <mergeCell ref="W38:AD38"/>
    <mergeCell ref="R49:V49"/>
    <mergeCell ref="AG41:AK41"/>
    <mergeCell ref="Z41:AD41"/>
    <mergeCell ref="R41:V41"/>
    <mergeCell ref="Z46:AD46"/>
    <mergeCell ref="Z49:AD49"/>
    <mergeCell ref="AG45:AK45"/>
    <mergeCell ref="AE49:AK51"/>
    <mergeCell ref="Z51:AD51"/>
    <mergeCell ref="AG46:AK46"/>
    <mergeCell ref="Z45:AD45"/>
    <mergeCell ref="B6:B7"/>
    <mergeCell ref="C6:C7"/>
    <mergeCell ref="H6:H7"/>
    <mergeCell ref="B10:N10"/>
    <mergeCell ref="I6:I7"/>
    <mergeCell ref="J6:J7"/>
    <mergeCell ref="F6:F7"/>
    <mergeCell ref="K6:K7"/>
    <mergeCell ref="G6:G7"/>
    <mergeCell ref="E6:E7"/>
    <mergeCell ref="D6:D7"/>
    <mergeCell ref="G34:J34"/>
    <mergeCell ref="P33:U33"/>
    <mergeCell ref="AG33:AK33"/>
    <mergeCell ref="F33:J33"/>
    <mergeCell ref="A33:E33"/>
    <mergeCell ref="AF28:AK28"/>
    <mergeCell ref="A9:A10"/>
    <mergeCell ref="P38:V38"/>
    <mergeCell ref="I1:AE2"/>
    <mergeCell ref="P6:P7"/>
    <mergeCell ref="AF1:AG2"/>
    <mergeCell ref="M6:M7"/>
    <mergeCell ref="Z14:AD14"/>
    <mergeCell ref="AG14:AK14"/>
    <mergeCell ref="P10:AK10"/>
    <mergeCell ref="AH6:AJ6"/>
    <mergeCell ref="X7:AE7"/>
    <mergeCell ref="AH7:AJ7"/>
    <mergeCell ref="AG13:AK13"/>
    <mergeCell ref="N6:N7"/>
    <mergeCell ref="Q6:Q7"/>
    <mergeCell ref="L6:L7"/>
    <mergeCell ref="AG6:AG7"/>
    <mergeCell ref="P4:S4"/>
    <mergeCell ref="T4:U4"/>
    <mergeCell ref="R13:V13"/>
    <mergeCell ref="U6:U7"/>
    <mergeCell ref="R6:R7"/>
    <mergeCell ref="S6:S7"/>
    <mergeCell ref="T6:T7"/>
    <mergeCell ref="W12:AD12"/>
    <mergeCell ref="A82:C85"/>
    <mergeCell ref="AG73:AK73"/>
    <mergeCell ref="AG74:AK74"/>
    <mergeCell ref="AG75:AK75"/>
    <mergeCell ref="Z82:AB82"/>
    <mergeCell ref="A63:J63"/>
    <mergeCell ref="L63:O63"/>
    <mergeCell ref="P63:AA63"/>
    <mergeCell ref="AC63:AF63"/>
    <mergeCell ref="AC64:AF64"/>
    <mergeCell ref="A64:AA64"/>
    <mergeCell ref="AG85:AK85"/>
    <mergeCell ref="AG76:AK76"/>
    <mergeCell ref="AG17:AK17"/>
    <mergeCell ref="Q34:U34"/>
    <mergeCell ref="R23:V23"/>
    <mergeCell ref="AC34:AF34"/>
    <mergeCell ref="AG70:AK70"/>
    <mergeCell ref="AG100:AK100"/>
    <mergeCell ref="AG107:AK107"/>
    <mergeCell ref="AH34:AK34"/>
    <mergeCell ref="W34:AA34"/>
    <mergeCell ref="R45:V45"/>
    <mergeCell ref="R46:V46"/>
    <mergeCell ref="Z43:AD43"/>
    <mergeCell ref="AG105:AK105"/>
    <mergeCell ref="AG103:AK103"/>
    <mergeCell ref="AG79:AK79"/>
    <mergeCell ref="AG97:AK97"/>
    <mergeCell ref="AG102:AK102"/>
    <mergeCell ref="AG101:AK101"/>
    <mergeCell ref="AG98:AK98"/>
    <mergeCell ref="AG99:AK99"/>
    <mergeCell ref="AG88:AK88"/>
    <mergeCell ref="AG89:AK89"/>
    <mergeCell ref="AG82:AK82"/>
    <mergeCell ref="AG87:AK87"/>
    <mergeCell ref="AG68:AK68"/>
    <mergeCell ref="AG83:AK83"/>
    <mergeCell ref="AG61:AK61"/>
    <mergeCell ref="AG80:AK80"/>
    <mergeCell ref="AI122:AK122"/>
    <mergeCell ref="AG109:AK109"/>
    <mergeCell ref="AH113:AK113"/>
    <mergeCell ref="AG111:AK111"/>
    <mergeCell ref="AI120:AK120"/>
    <mergeCell ref="AI119:AK119"/>
    <mergeCell ref="AI118:AK118"/>
    <mergeCell ref="V113:Z113"/>
    <mergeCell ref="P126:T126"/>
    <mergeCell ref="U126:AE126"/>
    <mergeCell ref="AF126:AK126"/>
    <mergeCell ref="AI121:AK121"/>
    <mergeCell ref="AG115:AK115"/>
    <mergeCell ref="AI123:AK123"/>
    <mergeCell ref="AI124:AK124"/>
    <mergeCell ref="AI125:AK125"/>
    <mergeCell ref="A112:AK112"/>
    <mergeCell ref="A113:F113"/>
    <mergeCell ref="I113:L113"/>
    <mergeCell ref="M113:S113"/>
    <mergeCell ref="AA113:AE113"/>
    <mergeCell ref="A71:C74"/>
    <mergeCell ref="AG77:AK77"/>
    <mergeCell ref="AG78:AK78"/>
    <mergeCell ref="AG84:AK84"/>
    <mergeCell ref="I135:O135"/>
    <mergeCell ref="X135:AG135"/>
    <mergeCell ref="W128:Z128"/>
    <mergeCell ref="AF127:AK127"/>
    <mergeCell ref="C128:E128"/>
    <mergeCell ref="H128:J128"/>
    <mergeCell ref="M128:O128"/>
    <mergeCell ref="R128:T128"/>
    <mergeCell ref="P127:T127"/>
    <mergeCell ref="W127:Z127"/>
    <mergeCell ref="AC127:AE127"/>
    <mergeCell ref="X134:AG134"/>
    <mergeCell ref="AC128:AE128"/>
    <mergeCell ref="AH128:AK128"/>
    <mergeCell ref="C127:E127"/>
    <mergeCell ref="H127:J127"/>
    <mergeCell ref="M127:O127"/>
    <mergeCell ref="A129:AK129"/>
    <mergeCell ref="C134:T134"/>
    <mergeCell ref="AG106:AK106"/>
    <mergeCell ref="A6:A7"/>
    <mergeCell ref="L36:O36"/>
    <mergeCell ref="P36:AA36"/>
    <mergeCell ref="A36:J36"/>
    <mergeCell ref="K33:O33"/>
    <mergeCell ref="AC36:AF36"/>
    <mergeCell ref="B34:E34"/>
    <mergeCell ref="V33:AA33"/>
    <mergeCell ref="AB33:AF33"/>
    <mergeCell ref="AF29:AK29"/>
    <mergeCell ref="L34:O34"/>
    <mergeCell ref="X29:AD29"/>
    <mergeCell ref="R29:V29"/>
    <mergeCell ref="X28:AD28"/>
    <mergeCell ref="AG18:AK18"/>
    <mergeCell ref="AE12:AK12"/>
    <mergeCell ref="P12:V12"/>
    <mergeCell ref="R22:V22"/>
    <mergeCell ref="R14:V14"/>
    <mergeCell ref="R15:V15"/>
    <mergeCell ref="AG25:AK25"/>
    <mergeCell ref="Z21:AD21"/>
    <mergeCell ref="R24:V24"/>
    <mergeCell ref="R25:V25"/>
    <mergeCell ref="W6:W7"/>
    <mergeCell ref="X6:AE6"/>
    <mergeCell ref="AG44:AK44"/>
    <mergeCell ref="Z23:AD23"/>
    <mergeCell ref="Z25:AD25"/>
    <mergeCell ref="Z24:AD24"/>
    <mergeCell ref="Z13:AD13"/>
    <mergeCell ref="Z20:AD20"/>
    <mergeCell ref="Z22:AD22"/>
    <mergeCell ref="AG15:AK15"/>
    <mergeCell ref="Z15:AD15"/>
    <mergeCell ref="X27:AD27"/>
    <mergeCell ref="AE26:AK27"/>
    <mergeCell ref="Z19:AD19"/>
    <mergeCell ref="AE19:AK24"/>
    <mergeCell ref="X26:AD26"/>
    <mergeCell ref="AG86:AK86"/>
    <mergeCell ref="W91:AD91"/>
    <mergeCell ref="AE91:AK91"/>
    <mergeCell ref="AG94:AK94"/>
    <mergeCell ref="AE93:AK93"/>
    <mergeCell ref="AG92:AK92"/>
    <mergeCell ref="Z92:AD92"/>
    <mergeCell ref="R16:V16"/>
    <mergeCell ref="Z16:AD16"/>
    <mergeCell ref="AG16:AK16"/>
    <mergeCell ref="R42:V42"/>
    <mergeCell ref="Z42:AD42"/>
    <mergeCell ref="AG42:AK42"/>
    <mergeCell ref="R20:V20"/>
    <mergeCell ref="R26:V26"/>
    <mergeCell ref="R21:V21"/>
    <mergeCell ref="R19:V19"/>
    <mergeCell ref="P27:V28"/>
    <mergeCell ref="R53:V53"/>
    <mergeCell ref="AG72:AK72"/>
    <mergeCell ref="X56:AD56"/>
    <mergeCell ref="X53:AD53"/>
    <mergeCell ref="AG67:AK67"/>
    <mergeCell ref="AG69:AK69"/>
  </mergeCells>
  <conditionalFormatting sqref="C6:N7">
    <cfRule type="expression" dxfId="9" priority="1">
      <formula>C$5</formula>
    </cfRule>
  </conditionalFormatting>
  <dataValidations count="3">
    <dataValidation type="whole" operator="equal" allowBlank="1" showInputMessage="1" showErrorMessage="1" errorTitle="Anexos con Excel" error="Este campo esta bloqueado por el SRI" sqref="AG84:AK84 WWJ983117:WWN983117 WMN983117:WMR983117 WCR983117:WCV983117 VSV983117:VSZ983117 VIZ983117:VJD983117 UZD983117:UZH983117 UPH983117:UPL983117 UFL983117:UFP983117 TVP983117:TVT983117 TLT983117:TLX983117 TBX983117:TCB983117 SSB983117:SSF983117 SIF983117:SIJ983117 RYJ983117:RYN983117 RON983117:ROR983117 RER983117:REV983117 QUV983117:QUZ983117 QKZ983117:QLD983117 QBD983117:QBH983117 PRH983117:PRL983117 PHL983117:PHP983117 OXP983117:OXT983117 ONT983117:ONX983117 ODX983117:OEB983117 NUB983117:NUF983117 NKF983117:NKJ983117 NAJ983117:NAN983117 MQN983117:MQR983117 MGR983117:MGV983117 LWV983117:LWZ983117 LMZ983117:LND983117 LDD983117:LDH983117 KTH983117:KTL983117 KJL983117:KJP983117 JZP983117:JZT983117 JPT983117:JPX983117 JFX983117:JGB983117 IWB983117:IWF983117 IMF983117:IMJ983117 ICJ983117:ICN983117 HSN983117:HSR983117 HIR983117:HIV983117 GYV983117:GYZ983117 GOZ983117:GPD983117 GFD983117:GFH983117 FVH983117:FVL983117 FLL983117:FLP983117 FBP983117:FBT983117 ERT983117:ERX983117 EHX983117:EIB983117 DYB983117:DYF983117 DOF983117:DOJ983117 DEJ983117:DEN983117 CUN983117:CUR983117 CKR983117:CKV983117 CAV983117:CAZ983117 BQZ983117:BRD983117 BHD983117:BHH983117 AXH983117:AXL983117 ANL983117:ANP983117 ADP983117:ADT983117 TT983117:TX983117 JX983117:KB983117 AG983117:AK983117 WWJ917581:WWN917581 WMN917581:WMR917581 WCR917581:WCV917581 VSV917581:VSZ917581 VIZ917581:VJD917581 UZD917581:UZH917581 UPH917581:UPL917581 UFL917581:UFP917581 TVP917581:TVT917581 TLT917581:TLX917581 TBX917581:TCB917581 SSB917581:SSF917581 SIF917581:SIJ917581 RYJ917581:RYN917581 RON917581:ROR917581 RER917581:REV917581 QUV917581:QUZ917581 QKZ917581:QLD917581 QBD917581:QBH917581 PRH917581:PRL917581 PHL917581:PHP917581 OXP917581:OXT917581 ONT917581:ONX917581 ODX917581:OEB917581 NUB917581:NUF917581 NKF917581:NKJ917581 NAJ917581:NAN917581 MQN917581:MQR917581 MGR917581:MGV917581 LWV917581:LWZ917581 LMZ917581:LND917581 LDD917581:LDH917581 KTH917581:KTL917581 KJL917581:KJP917581 JZP917581:JZT917581 JPT917581:JPX917581 JFX917581:JGB917581 IWB917581:IWF917581 IMF917581:IMJ917581 ICJ917581:ICN917581 HSN917581:HSR917581 HIR917581:HIV917581 GYV917581:GYZ917581 GOZ917581:GPD917581 GFD917581:GFH917581 FVH917581:FVL917581 FLL917581:FLP917581 FBP917581:FBT917581 ERT917581:ERX917581 EHX917581:EIB917581 DYB917581:DYF917581 DOF917581:DOJ917581 DEJ917581:DEN917581 CUN917581:CUR917581 CKR917581:CKV917581 CAV917581:CAZ917581 BQZ917581:BRD917581 BHD917581:BHH917581 AXH917581:AXL917581 ANL917581:ANP917581 ADP917581:ADT917581 TT917581:TX917581 JX917581:KB917581 AG917581:AK917581 WWJ852045:WWN852045 WMN852045:WMR852045 WCR852045:WCV852045 VSV852045:VSZ852045 VIZ852045:VJD852045 UZD852045:UZH852045 UPH852045:UPL852045 UFL852045:UFP852045 TVP852045:TVT852045 TLT852045:TLX852045 TBX852045:TCB852045 SSB852045:SSF852045 SIF852045:SIJ852045 RYJ852045:RYN852045 RON852045:ROR852045 RER852045:REV852045 QUV852045:QUZ852045 QKZ852045:QLD852045 QBD852045:QBH852045 PRH852045:PRL852045 PHL852045:PHP852045 OXP852045:OXT852045 ONT852045:ONX852045 ODX852045:OEB852045 NUB852045:NUF852045 NKF852045:NKJ852045 NAJ852045:NAN852045 MQN852045:MQR852045 MGR852045:MGV852045 LWV852045:LWZ852045 LMZ852045:LND852045 LDD852045:LDH852045 KTH852045:KTL852045 KJL852045:KJP852045 JZP852045:JZT852045 JPT852045:JPX852045 JFX852045:JGB852045 IWB852045:IWF852045 IMF852045:IMJ852045 ICJ852045:ICN852045 HSN852045:HSR852045 HIR852045:HIV852045 GYV852045:GYZ852045 GOZ852045:GPD852045 GFD852045:GFH852045 FVH852045:FVL852045 FLL852045:FLP852045 FBP852045:FBT852045 ERT852045:ERX852045 EHX852045:EIB852045 DYB852045:DYF852045 DOF852045:DOJ852045 DEJ852045:DEN852045 CUN852045:CUR852045 CKR852045:CKV852045 CAV852045:CAZ852045 BQZ852045:BRD852045 BHD852045:BHH852045 AXH852045:AXL852045 ANL852045:ANP852045 ADP852045:ADT852045 TT852045:TX852045 JX852045:KB852045 AG852045:AK852045 WWJ786509:WWN786509 WMN786509:WMR786509 WCR786509:WCV786509 VSV786509:VSZ786509 VIZ786509:VJD786509 UZD786509:UZH786509 UPH786509:UPL786509 UFL786509:UFP786509 TVP786509:TVT786509 TLT786509:TLX786509 TBX786509:TCB786509 SSB786509:SSF786509 SIF786509:SIJ786509 RYJ786509:RYN786509 RON786509:ROR786509 RER786509:REV786509 QUV786509:QUZ786509 QKZ786509:QLD786509 QBD786509:QBH786509 PRH786509:PRL786509 PHL786509:PHP786509 OXP786509:OXT786509 ONT786509:ONX786509 ODX786509:OEB786509 NUB786509:NUF786509 NKF786509:NKJ786509 NAJ786509:NAN786509 MQN786509:MQR786509 MGR786509:MGV786509 LWV786509:LWZ786509 LMZ786509:LND786509 LDD786509:LDH786509 KTH786509:KTL786509 KJL786509:KJP786509 JZP786509:JZT786509 JPT786509:JPX786509 JFX786509:JGB786509 IWB786509:IWF786509 IMF786509:IMJ786509 ICJ786509:ICN786509 HSN786509:HSR786509 HIR786509:HIV786509 GYV786509:GYZ786509 GOZ786509:GPD786509 GFD786509:GFH786509 FVH786509:FVL786509 FLL786509:FLP786509 FBP786509:FBT786509 ERT786509:ERX786509 EHX786509:EIB786509 DYB786509:DYF786509 DOF786509:DOJ786509 DEJ786509:DEN786509 CUN786509:CUR786509 CKR786509:CKV786509 CAV786509:CAZ786509 BQZ786509:BRD786509 BHD786509:BHH786509 AXH786509:AXL786509 ANL786509:ANP786509 ADP786509:ADT786509 TT786509:TX786509 JX786509:KB786509 AG786509:AK786509 WWJ720973:WWN720973 WMN720973:WMR720973 WCR720973:WCV720973 VSV720973:VSZ720973 VIZ720973:VJD720973 UZD720973:UZH720973 UPH720973:UPL720973 UFL720973:UFP720973 TVP720973:TVT720973 TLT720973:TLX720973 TBX720973:TCB720973 SSB720973:SSF720973 SIF720973:SIJ720973 RYJ720973:RYN720973 RON720973:ROR720973 RER720973:REV720973 QUV720973:QUZ720973 QKZ720973:QLD720973 QBD720973:QBH720973 PRH720973:PRL720973 PHL720973:PHP720973 OXP720973:OXT720973 ONT720973:ONX720973 ODX720973:OEB720973 NUB720973:NUF720973 NKF720973:NKJ720973 NAJ720973:NAN720973 MQN720973:MQR720973 MGR720973:MGV720973 LWV720973:LWZ720973 LMZ720973:LND720973 LDD720973:LDH720973 KTH720973:KTL720973 KJL720973:KJP720973 JZP720973:JZT720973 JPT720973:JPX720973 JFX720973:JGB720973 IWB720973:IWF720973 IMF720973:IMJ720973 ICJ720973:ICN720973 HSN720973:HSR720973 HIR720973:HIV720973 GYV720973:GYZ720973 GOZ720973:GPD720973 GFD720973:GFH720973 FVH720973:FVL720973 FLL720973:FLP720973 FBP720973:FBT720973 ERT720973:ERX720973 EHX720973:EIB720973 DYB720973:DYF720973 DOF720973:DOJ720973 DEJ720973:DEN720973 CUN720973:CUR720973 CKR720973:CKV720973 CAV720973:CAZ720973 BQZ720973:BRD720973 BHD720973:BHH720973 AXH720973:AXL720973 ANL720973:ANP720973 ADP720973:ADT720973 TT720973:TX720973 JX720973:KB720973 AG720973:AK720973 WWJ655437:WWN655437 WMN655437:WMR655437 WCR655437:WCV655437 VSV655437:VSZ655437 VIZ655437:VJD655437 UZD655437:UZH655437 UPH655437:UPL655437 UFL655437:UFP655437 TVP655437:TVT655437 TLT655437:TLX655437 TBX655437:TCB655437 SSB655437:SSF655437 SIF655437:SIJ655437 RYJ655437:RYN655437 RON655437:ROR655437 RER655437:REV655437 QUV655437:QUZ655437 QKZ655437:QLD655437 QBD655437:QBH655437 PRH655437:PRL655437 PHL655437:PHP655437 OXP655437:OXT655437 ONT655437:ONX655437 ODX655437:OEB655437 NUB655437:NUF655437 NKF655437:NKJ655437 NAJ655437:NAN655437 MQN655437:MQR655437 MGR655437:MGV655437 LWV655437:LWZ655437 LMZ655437:LND655437 LDD655437:LDH655437 KTH655437:KTL655437 KJL655437:KJP655437 JZP655437:JZT655437 JPT655437:JPX655437 JFX655437:JGB655437 IWB655437:IWF655437 IMF655437:IMJ655437 ICJ655437:ICN655437 HSN655437:HSR655437 HIR655437:HIV655437 GYV655437:GYZ655437 GOZ655437:GPD655437 GFD655437:GFH655437 FVH655437:FVL655437 FLL655437:FLP655437 FBP655437:FBT655437 ERT655437:ERX655437 EHX655437:EIB655437 DYB655437:DYF655437 DOF655437:DOJ655437 DEJ655437:DEN655437 CUN655437:CUR655437 CKR655437:CKV655437 CAV655437:CAZ655437 BQZ655437:BRD655437 BHD655437:BHH655437 AXH655437:AXL655437 ANL655437:ANP655437 ADP655437:ADT655437 TT655437:TX655437 JX655437:KB655437 AG655437:AK655437 WWJ589901:WWN589901 WMN589901:WMR589901 WCR589901:WCV589901 VSV589901:VSZ589901 VIZ589901:VJD589901 UZD589901:UZH589901 UPH589901:UPL589901 UFL589901:UFP589901 TVP589901:TVT589901 TLT589901:TLX589901 TBX589901:TCB589901 SSB589901:SSF589901 SIF589901:SIJ589901 RYJ589901:RYN589901 RON589901:ROR589901 RER589901:REV589901 QUV589901:QUZ589901 QKZ589901:QLD589901 QBD589901:QBH589901 PRH589901:PRL589901 PHL589901:PHP589901 OXP589901:OXT589901 ONT589901:ONX589901 ODX589901:OEB589901 NUB589901:NUF589901 NKF589901:NKJ589901 NAJ589901:NAN589901 MQN589901:MQR589901 MGR589901:MGV589901 LWV589901:LWZ589901 LMZ589901:LND589901 LDD589901:LDH589901 KTH589901:KTL589901 KJL589901:KJP589901 JZP589901:JZT589901 JPT589901:JPX589901 JFX589901:JGB589901 IWB589901:IWF589901 IMF589901:IMJ589901 ICJ589901:ICN589901 HSN589901:HSR589901 HIR589901:HIV589901 GYV589901:GYZ589901 GOZ589901:GPD589901 GFD589901:GFH589901 FVH589901:FVL589901 FLL589901:FLP589901 FBP589901:FBT589901 ERT589901:ERX589901 EHX589901:EIB589901 DYB589901:DYF589901 DOF589901:DOJ589901 DEJ589901:DEN589901 CUN589901:CUR589901 CKR589901:CKV589901 CAV589901:CAZ589901 BQZ589901:BRD589901 BHD589901:BHH589901 AXH589901:AXL589901 ANL589901:ANP589901 ADP589901:ADT589901 TT589901:TX589901 JX589901:KB589901 AG589901:AK589901 WWJ524365:WWN524365 WMN524365:WMR524365 WCR524365:WCV524365 VSV524365:VSZ524365 VIZ524365:VJD524365 UZD524365:UZH524365 UPH524365:UPL524365 UFL524365:UFP524365 TVP524365:TVT524365 TLT524365:TLX524365 TBX524365:TCB524365 SSB524365:SSF524365 SIF524365:SIJ524365 RYJ524365:RYN524365 RON524365:ROR524365 RER524365:REV524365 QUV524365:QUZ524365 QKZ524365:QLD524365 QBD524365:QBH524365 PRH524365:PRL524365 PHL524365:PHP524365 OXP524365:OXT524365 ONT524365:ONX524365 ODX524365:OEB524365 NUB524365:NUF524365 NKF524365:NKJ524365 NAJ524365:NAN524365 MQN524365:MQR524365 MGR524365:MGV524365 LWV524365:LWZ524365 LMZ524365:LND524365 LDD524365:LDH524365 KTH524365:KTL524365 KJL524365:KJP524365 JZP524365:JZT524365 JPT524365:JPX524365 JFX524365:JGB524365 IWB524365:IWF524365 IMF524365:IMJ524365 ICJ524365:ICN524365 HSN524365:HSR524365 HIR524365:HIV524365 GYV524365:GYZ524365 GOZ524365:GPD524365 GFD524365:GFH524365 FVH524365:FVL524365 FLL524365:FLP524365 FBP524365:FBT524365 ERT524365:ERX524365 EHX524365:EIB524365 DYB524365:DYF524365 DOF524365:DOJ524365 DEJ524365:DEN524365 CUN524365:CUR524365 CKR524365:CKV524365 CAV524365:CAZ524365 BQZ524365:BRD524365 BHD524365:BHH524365 AXH524365:AXL524365 ANL524365:ANP524365 ADP524365:ADT524365 TT524365:TX524365 JX524365:KB524365 AG524365:AK524365 WWJ458829:WWN458829 WMN458829:WMR458829 WCR458829:WCV458829 VSV458829:VSZ458829 VIZ458829:VJD458829 UZD458829:UZH458829 UPH458829:UPL458829 UFL458829:UFP458829 TVP458829:TVT458829 TLT458829:TLX458829 TBX458829:TCB458829 SSB458829:SSF458829 SIF458829:SIJ458829 RYJ458829:RYN458829 RON458829:ROR458829 RER458829:REV458829 QUV458829:QUZ458829 QKZ458829:QLD458829 QBD458829:QBH458829 PRH458829:PRL458829 PHL458829:PHP458829 OXP458829:OXT458829 ONT458829:ONX458829 ODX458829:OEB458829 NUB458829:NUF458829 NKF458829:NKJ458829 NAJ458829:NAN458829 MQN458829:MQR458829 MGR458829:MGV458829 LWV458829:LWZ458829 LMZ458829:LND458829 LDD458829:LDH458829 KTH458829:KTL458829 KJL458829:KJP458829 JZP458829:JZT458829 JPT458829:JPX458829 JFX458829:JGB458829 IWB458829:IWF458829 IMF458829:IMJ458829 ICJ458829:ICN458829 HSN458829:HSR458829 HIR458829:HIV458829 GYV458829:GYZ458829 GOZ458829:GPD458829 GFD458829:GFH458829 FVH458829:FVL458829 FLL458829:FLP458829 FBP458829:FBT458829 ERT458829:ERX458829 EHX458829:EIB458829 DYB458829:DYF458829 DOF458829:DOJ458829 DEJ458829:DEN458829 CUN458829:CUR458829 CKR458829:CKV458829 CAV458829:CAZ458829 BQZ458829:BRD458829 BHD458829:BHH458829 AXH458829:AXL458829 ANL458829:ANP458829 ADP458829:ADT458829 TT458829:TX458829 JX458829:KB458829 AG458829:AK458829 WWJ393293:WWN393293 WMN393293:WMR393293 WCR393293:WCV393293 VSV393293:VSZ393293 VIZ393293:VJD393293 UZD393293:UZH393293 UPH393293:UPL393293 UFL393293:UFP393293 TVP393293:TVT393293 TLT393293:TLX393293 TBX393293:TCB393293 SSB393293:SSF393293 SIF393293:SIJ393293 RYJ393293:RYN393293 RON393293:ROR393293 RER393293:REV393293 QUV393293:QUZ393293 QKZ393293:QLD393293 QBD393293:QBH393293 PRH393293:PRL393293 PHL393293:PHP393293 OXP393293:OXT393293 ONT393293:ONX393293 ODX393293:OEB393293 NUB393293:NUF393293 NKF393293:NKJ393293 NAJ393293:NAN393293 MQN393293:MQR393293 MGR393293:MGV393293 LWV393293:LWZ393293 LMZ393293:LND393293 LDD393293:LDH393293 KTH393293:KTL393293 KJL393293:KJP393293 JZP393293:JZT393293 JPT393293:JPX393293 JFX393293:JGB393293 IWB393293:IWF393293 IMF393293:IMJ393293 ICJ393293:ICN393293 HSN393293:HSR393293 HIR393293:HIV393293 GYV393293:GYZ393293 GOZ393293:GPD393293 GFD393293:GFH393293 FVH393293:FVL393293 FLL393293:FLP393293 FBP393293:FBT393293 ERT393293:ERX393293 EHX393293:EIB393293 DYB393293:DYF393293 DOF393293:DOJ393293 DEJ393293:DEN393293 CUN393293:CUR393293 CKR393293:CKV393293 CAV393293:CAZ393293 BQZ393293:BRD393293 BHD393293:BHH393293 AXH393293:AXL393293 ANL393293:ANP393293 ADP393293:ADT393293 TT393293:TX393293 JX393293:KB393293 AG393293:AK393293 WWJ327757:WWN327757 WMN327757:WMR327757 WCR327757:WCV327757 VSV327757:VSZ327757 VIZ327757:VJD327757 UZD327757:UZH327757 UPH327757:UPL327757 UFL327757:UFP327757 TVP327757:TVT327757 TLT327757:TLX327757 TBX327757:TCB327757 SSB327757:SSF327757 SIF327757:SIJ327757 RYJ327757:RYN327757 RON327757:ROR327757 RER327757:REV327757 QUV327757:QUZ327757 QKZ327757:QLD327757 QBD327757:QBH327757 PRH327757:PRL327757 PHL327757:PHP327757 OXP327757:OXT327757 ONT327757:ONX327757 ODX327757:OEB327757 NUB327757:NUF327757 NKF327757:NKJ327757 NAJ327757:NAN327757 MQN327757:MQR327757 MGR327757:MGV327757 LWV327757:LWZ327757 LMZ327757:LND327757 LDD327757:LDH327757 KTH327757:KTL327757 KJL327757:KJP327757 JZP327757:JZT327757 JPT327757:JPX327757 JFX327757:JGB327757 IWB327757:IWF327757 IMF327757:IMJ327757 ICJ327757:ICN327757 HSN327757:HSR327757 HIR327757:HIV327757 GYV327757:GYZ327757 GOZ327757:GPD327757 GFD327757:GFH327757 FVH327757:FVL327757 FLL327757:FLP327757 FBP327757:FBT327757 ERT327757:ERX327757 EHX327757:EIB327757 DYB327757:DYF327757 DOF327757:DOJ327757 DEJ327757:DEN327757 CUN327757:CUR327757 CKR327757:CKV327757 CAV327757:CAZ327757 BQZ327757:BRD327757 BHD327757:BHH327757 AXH327757:AXL327757 ANL327757:ANP327757 ADP327757:ADT327757 TT327757:TX327757 JX327757:KB327757 AG327757:AK327757 WWJ262221:WWN262221 WMN262221:WMR262221 WCR262221:WCV262221 VSV262221:VSZ262221 VIZ262221:VJD262221 UZD262221:UZH262221 UPH262221:UPL262221 UFL262221:UFP262221 TVP262221:TVT262221 TLT262221:TLX262221 TBX262221:TCB262221 SSB262221:SSF262221 SIF262221:SIJ262221 RYJ262221:RYN262221 RON262221:ROR262221 RER262221:REV262221 QUV262221:QUZ262221 QKZ262221:QLD262221 QBD262221:QBH262221 PRH262221:PRL262221 PHL262221:PHP262221 OXP262221:OXT262221 ONT262221:ONX262221 ODX262221:OEB262221 NUB262221:NUF262221 NKF262221:NKJ262221 NAJ262221:NAN262221 MQN262221:MQR262221 MGR262221:MGV262221 LWV262221:LWZ262221 LMZ262221:LND262221 LDD262221:LDH262221 KTH262221:KTL262221 KJL262221:KJP262221 JZP262221:JZT262221 JPT262221:JPX262221 JFX262221:JGB262221 IWB262221:IWF262221 IMF262221:IMJ262221 ICJ262221:ICN262221 HSN262221:HSR262221 HIR262221:HIV262221 GYV262221:GYZ262221 GOZ262221:GPD262221 GFD262221:GFH262221 FVH262221:FVL262221 FLL262221:FLP262221 FBP262221:FBT262221 ERT262221:ERX262221 EHX262221:EIB262221 DYB262221:DYF262221 DOF262221:DOJ262221 DEJ262221:DEN262221 CUN262221:CUR262221 CKR262221:CKV262221 CAV262221:CAZ262221 BQZ262221:BRD262221 BHD262221:BHH262221 AXH262221:AXL262221 ANL262221:ANP262221 ADP262221:ADT262221 TT262221:TX262221 JX262221:KB262221 AG262221:AK262221 WWJ196685:WWN196685 WMN196685:WMR196685 WCR196685:WCV196685 VSV196685:VSZ196685 VIZ196685:VJD196685 UZD196685:UZH196685 UPH196685:UPL196685 UFL196685:UFP196685 TVP196685:TVT196685 TLT196685:TLX196685 TBX196685:TCB196685 SSB196685:SSF196685 SIF196685:SIJ196685 RYJ196685:RYN196685 RON196685:ROR196685 RER196685:REV196685 QUV196685:QUZ196685 QKZ196685:QLD196685 QBD196685:QBH196685 PRH196685:PRL196685 PHL196685:PHP196685 OXP196685:OXT196685 ONT196685:ONX196685 ODX196685:OEB196685 NUB196685:NUF196685 NKF196685:NKJ196685 NAJ196685:NAN196685 MQN196685:MQR196685 MGR196685:MGV196685 LWV196685:LWZ196685 LMZ196685:LND196685 LDD196685:LDH196685 KTH196685:KTL196685 KJL196685:KJP196685 JZP196685:JZT196685 JPT196685:JPX196685 JFX196685:JGB196685 IWB196685:IWF196685 IMF196685:IMJ196685 ICJ196685:ICN196685 HSN196685:HSR196685 HIR196685:HIV196685 GYV196685:GYZ196685 GOZ196685:GPD196685 GFD196685:GFH196685 FVH196685:FVL196685 FLL196685:FLP196685 FBP196685:FBT196685 ERT196685:ERX196685 EHX196685:EIB196685 DYB196685:DYF196685 DOF196685:DOJ196685 DEJ196685:DEN196685 CUN196685:CUR196685 CKR196685:CKV196685 CAV196685:CAZ196685 BQZ196685:BRD196685 BHD196685:BHH196685 AXH196685:AXL196685 ANL196685:ANP196685 ADP196685:ADT196685 TT196685:TX196685 JX196685:KB196685 AG196685:AK196685 WWJ131149:WWN131149 WMN131149:WMR131149 WCR131149:WCV131149 VSV131149:VSZ131149 VIZ131149:VJD131149 UZD131149:UZH131149 UPH131149:UPL131149 UFL131149:UFP131149 TVP131149:TVT131149 TLT131149:TLX131149 TBX131149:TCB131149 SSB131149:SSF131149 SIF131149:SIJ131149 RYJ131149:RYN131149 RON131149:ROR131149 RER131149:REV131149 QUV131149:QUZ131149 QKZ131149:QLD131149 QBD131149:QBH131149 PRH131149:PRL131149 PHL131149:PHP131149 OXP131149:OXT131149 ONT131149:ONX131149 ODX131149:OEB131149 NUB131149:NUF131149 NKF131149:NKJ131149 NAJ131149:NAN131149 MQN131149:MQR131149 MGR131149:MGV131149 LWV131149:LWZ131149 LMZ131149:LND131149 LDD131149:LDH131149 KTH131149:KTL131149 KJL131149:KJP131149 JZP131149:JZT131149 JPT131149:JPX131149 JFX131149:JGB131149 IWB131149:IWF131149 IMF131149:IMJ131149 ICJ131149:ICN131149 HSN131149:HSR131149 HIR131149:HIV131149 GYV131149:GYZ131149 GOZ131149:GPD131149 GFD131149:GFH131149 FVH131149:FVL131149 FLL131149:FLP131149 FBP131149:FBT131149 ERT131149:ERX131149 EHX131149:EIB131149 DYB131149:DYF131149 DOF131149:DOJ131149 DEJ131149:DEN131149 CUN131149:CUR131149 CKR131149:CKV131149 CAV131149:CAZ131149 BQZ131149:BRD131149 BHD131149:BHH131149 AXH131149:AXL131149 ANL131149:ANP131149 ADP131149:ADT131149 TT131149:TX131149 JX131149:KB131149 AG131149:AK131149 WWJ65613:WWN65613 WMN65613:WMR65613 WCR65613:WCV65613 VSV65613:VSZ65613 VIZ65613:VJD65613 UZD65613:UZH65613 UPH65613:UPL65613 UFL65613:UFP65613 TVP65613:TVT65613 TLT65613:TLX65613 TBX65613:TCB65613 SSB65613:SSF65613 SIF65613:SIJ65613 RYJ65613:RYN65613 RON65613:ROR65613 RER65613:REV65613 QUV65613:QUZ65613 QKZ65613:QLD65613 QBD65613:QBH65613 PRH65613:PRL65613 PHL65613:PHP65613 OXP65613:OXT65613 ONT65613:ONX65613 ODX65613:OEB65613 NUB65613:NUF65613 NKF65613:NKJ65613 NAJ65613:NAN65613 MQN65613:MQR65613 MGR65613:MGV65613 LWV65613:LWZ65613 LMZ65613:LND65613 LDD65613:LDH65613 KTH65613:KTL65613 KJL65613:KJP65613 JZP65613:JZT65613 JPT65613:JPX65613 JFX65613:JGB65613 IWB65613:IWF65613 IMF65613:IMJ65613 ICJ65613:ICN65613 HSN65613:HSR65613 HIR65613:HIV65613 GYV65613:GYZ65613 GOZ65613:GPD65613 GFD65613:GFH65613 FVH65613:FVL65613 FLL65613:FLP65613 FBP65613:FBT65613 ERT65613:ERX65613 EHX65613:EIB65613 DYB65613:DYF65613 DOF65613:DOJ65613 DEJ65613:DEN65613 CUN65613:CUR65613 CKR65613:CKV65613 CAV65613:CAZ65613 BQZ65613:BRD65613 BHD65613:BHH65613 AXH65613:AXL65613 ANL65613:ANP65613 ADP65613:ADT65613 TT65613:TX65613 JX65613:KB65613 AG65613:AK65613 WWJ69:WWN69 WMN69:WMR69 WCR69:WCV69 VSV69:VSZ69 VIZ69:VJD69 UZD69:UZH69 UPH69:UPL69 UFL69:UFP69 TVP69:TVT69 TLT69:TLX69 TBX69:TCB69 SSB69:SSF69 SIF69:SIJ69 RYJ69:RYN69 RON69:ROR69 RER69:REV69 QUV69:QUZ69 QKZ69:QLD69 QBD69:QBH69 PRH69:PRL69 PHL69:PHP69 OXP69:OXT69 ONT69:ONX69 ODX69:OEB69 NUB69:NUF69 NKF69:NKJ69 NAJ69:NAN69 MQN69:MQR69 MGR69:MGV69 LWV69:LWZ69 LMZ69:LND69 LDD69:LDH69 KTH69:KTL69 KJL69:KJP69 JZP69:JZT69 JPT69:JPX69 JFX69:JGB69 IWB69:IWF69 IMF69:IMJ69 ICJ69:ICN69 HSN69:HSR69 HIR69:HIV69 GYV69:GYZ69 GOZ69:GPD69 GFD69:GFH69 FVH69:FVL69 FLL69:FLP69 FBP69:FBT69 ERT69:ERX69 EHX69:EIB69 DYB69:DYF69 DOF69:DOJ69 DEJ69:DEN69 CUN69:CUR69 CKR69:CKV69 CAV69:CAZ69 BQZ69:BRD69 BHD69:BHH69 AXH69:AXL69 ANL69:ANP69 ADP69:ADT69 TT69:TX69 JX69:KB69 JX84:KB84 WWJ983121:WWN983121 WMN983121:WMR983121 WCR983121:WCV983121 VSV983121:VSZ983121 VIZ983121:VJD983121 UZD983121:UZH983121 UPH983121:UPL983121 UFL983121:UFP983121 TVP983121:TVT983121 TLT983121:TLX983121 TBX983121:TCB983121 SSB983121:SSF983121 SIF983121:SIJ983121 RYJ983121:RYN983121 RON983121:ROR983121 RER983121:REV983121 QUV983121:QUZ983121 QKZ983121:QLD983121 QBD983121:QBH983121 PRH983121:PRL983121 PHL983121:PHP983121 OXP983121:OXT983121 ONT983121:ONX983121 ODX983121:OEB983121 NUB983121:NUF983121 NKF983121:NKJ983121 NAJ983121:NAN983121 MQN983121:MQR983121 MGR983121:MGV983121 LWV983121:LWZ983121 LMZ983121:LND983121 LDD983121:LDH983121 KTH983121:KTL983121 KJL983121:KJP983121 JZP983121:JZT983121 JPT983121:JPX983121 JFX983121:JGB983121 IWB983121:IWF983121 IMF983121:IMJ983121 ICJ983121:ICN983121 HSN983121:HSR983121 HIR983121:HIV983121 GYV983121:GYZ983121 GOZ983121:GPD983121 GFD983121:GFH983121 FVH983121:FVL983121 FLL983121:FLP983121 FBP983121:FBT983121 ERT983121:ERX983121 EHX983121:EIB983121 DYB983121:DYF983121 DOF983121:DOJ983121 DEJ983121:DEN983121 CUN983121:CUR983121 CKR983121:CKV983121 CAV983121:CAZ983121 BQZ983121:BRD983121 BHD983121:BHH983121 AXH983121:AXL983121 ANL983121:ANP983121 ADP983121:ADT983121 TT983121:TX983121 JX983121:KB983121 AG983121:AK983121 WWJ917585:WWN917585 WMN917585:WMR917585 WCR917585:WCV917585 VSV917585:VSZ917585 VIZ917585:VJD917585 UZD917585:UZH917585 UPH917585:UPL917585 UFL917585:UFP917585 TVP917585:TVT917585 TLT917585:TLX917585 TBX917585:TCB917585 SSB917585:SSF917585 SIF917585:SIJ917585 RYJ917585:RYN917585 RON917585:ROR917585 RER917585:REV917585 QUV917585:QUZ917585 QKZ917585:QLD917585 QBD917585:QBH917585 PRH917585:PRL917585 PHL917585:PHP917585 OXP917585:OXT917585 ONT917585:ONX917585 ODX917585:OEB917585 NUB917585:NUF917585 NKF917585:NKJ917585 NAJ917585:NAN917585 MQN917585:MQR917585 MGR917585:MGV917585 LWV917585:LWZ917585 LMZ917585:LND917585 LDD917585:LDH917585 KTH917585:KTL917585 KJL917585:KJP917585 JZP917585:JZT917585 JPT917585:JPX917585 JFX917585:JGB917585 IWB917585:IWF917585 IMF917585:IMJ917585 ICJ917585:ICN917585 HSN917585:HSR917585 HIR917585:HIV917585 GYV917585:GYZ917585 GOZ917585:GPD917585 GFD917585:GFH917585 FVH917585:FVL917585 FLL917585:FLP917585 FBP917585:FBT917585 ERT917585:ERX917585 EHX917585:EIB917585 DYB917585:DYF917585 DOF917585:DOJ917585 DEJ917585:DEN917585 CUN917585:CUR917585 CKR917585:CKV917585 CAV917585:CAZ917585 BQZ917585:BRD917585 BHD917585:BHH917585 AXH917585:AXL917585 ANL917585:ANP917585 ADP917585:ADT917585 TT917585:TX917585 JX917585:KB917585 AG917585:AK917585 WWJ852049:WWN852049 WMN852049:WMR852049 WCR852049:WCV852049 VSV852049:VSZ852049 VIZ852049:VJD852049 UZD852049:UZH852049 UPH852049:UPL852049 UFL852049:UFP852049 TVP852049:TVT852049 TLT852049:TLX852049 TBX852049:TCB852049 SSB852049:SSF852049 SIF852049:SIJ852049 RYJ852049:RYN852049 RON852049:ROR852049 RER852049:REV852049 QUV852049:QUZ852049 QKZ852049:QLD852049 QBD852049:QBH852049 PRH852049:PRL852049 PHL852049:PHP852049 OXP852049:OXT852049 ONT852049:ONX852049 ODX852049:OEB852049 NUB852049:NUF852049 NKF852049:NKJ852049 NAJ852049:NAN852049 MQN852049:MQR852049 MGR852049:MGV852049 LWV852049:LWZ852049 LMZ852049:LND852049 LDD852049:LDH852049 KTH852049:KTL852049 KJL852049:KJP852049 JZP852049:JZT852049 JPT852049:JPX852049 JFX852049:JGB852049 IWB852049:IWF852049 IMF852049:IMJ852049 ICJ852049:ICN852049 HSN852049:HSR852049 HIR852049:HIV852049 GYV852049:GYZ852049 GOZ852049:GPD852049 GFD852049:GFH852049 FVH852049:FVL852049 FLL852049:FLP852049 FBP852049:FBT852049 ERT852049:ERX852049 EHX852049:EIB852049 DYB852049:DYF852049 DOF852049:DOJ852049 DEJ852049:DEN852049 CUN852049:CUR852049 CKR852049:CKV852049 CAV852049:CAZ852049 BQZ852049:BRD852049 BHD852049:BHH852049 AXH852049:AXL852049 ANL852049:ANP852049 ADP852049:ADT852049 TT852049:TX852049 JX852049:KB852049 AG852049:AK852049 WWJ786513:WWN786513 WMN786513:WMR786513 WCR786513:WCV786513 VSV786513:VSZ786513 VIZ786513:VJD786513 UZD786513:UZH786513 UPH786513:UPL786513 UFL786513:UFP786513 TVP786513:TVT786513 TLT786513:TLX786513 TBX786513:TCB786513 SSB786513:SSF786513 SIF786513:SIJ786513 RYJ786513:RYN786513 RON786513:ROR786513 RER786513:REV786513 QUV786513:QUZ786513 QKZ786513:QLD786513 QBD786513:QBH786513 PRH786513:PRL786513 PHL786513:PHP786513 OXP786513:OXT786513 ONT786513:ONX786513 ODX786513:OEB786513 NUB786513:NUF786513 NKF786513:NKJ786513 NAJ786513:NAN786513 MQN786513:MQR786513 MGR786513:MGV786513 LWV786513:LWZ786513 LMZ786513:LND786513 LDD786513:LDH786513 KTH786513:KTL786513 KJL786513:KJP786513 JZP786513:JZT786513 JPT786513:JPX786513 JFX786513:JGB786513 IWB786513:IWF786513 IMF786513:IMJ786513 ICJ786513:ICN786513 HSN786513:HSR786513 HIR786513:HIV786513 GYV786513:GYZ786513 GOZ786513:GPD786513 GFD786513:GFH786513 FVH786513:FVL786513 FLL786513:FLP786513 FBP786513:FBT786513 ERT786513:ERX786513 EHX786513:EIB786513 DYB786513:DYF786513 DOF786513:DOJ786513 DEJ786513:DEN786513 CUN786513:CUR786513 CKR786513:CKV786513 CAV786513:CAZ786513 BQZ786513:BRD786513 BHD786513:BHH786513 AXH786513:AXL786513 ANL786513:ANP786513 ADP786513:ADT786513 TT786513:TX786513 JX786513:KB786513 AG786513:AK786513 WWJ720977:WWN720977 WMN720977:WMR720977 WCR720977:WCV720977 VSV720977:VSZ720977 VIZ720977:VJD720977 UZD720977:UZH720977 UPH720977:UPL720977 UFL720977:UFP720977 TVP720977:TVT720977 TLT720977:TLX720977 TBX720977:TCB720977 SSB720977:SSF720977 SIF720977:SIJ720977 RYJ720977:RYN720977 RON720977:ROR720977 RER720977:REV720977 QUV720977:QUZ720977 QKZ720977:QLD720977 QBD720977:QBH720977 PRH720977:PRL720977 PHL720977:PHP720977 OXP720977:OXT720977 ONT720977:ONX720977 ODX720977:OEB720977 NUB720977:NUF720977 NKF720977:NKJ720977 NAJ720977:NAN720977 MQN720977:MQR720977 MGR720977:MGV720977 LWV720977:LWZ720977 LMZ720977:LND720977 LDD720977:LDH720977 KTH720977:KTL720977 KJL720977:KJP720977 JZP720977:JZT720977 JPT720977:JPX720977 JFX720977:JGB720977 IWB720977:IWF720977 IMF720977:IMJ720977 ICJ720977:ICN720977 HSN720977:HSR720977 HIR720977:HIV720977 GYV720977:GYZ720977 GOZ720977:GPD720977 GFD720977:GFH720977 FVH720977:FVL720977 FLL720977:FLP720977 FBP720977:FBT720977 ERT720977:ERX720977 EHX720977:EIB720977 DYB720977:DYF720977 DOF720977:DOJ720977 DEJ720977:DEN720977 CUN720977:CUR720977 CKR720977:CKV720977 CAV720977:CAZ720977 BQZ720977:BRD720977 BHD720977:BHH720977 AXH720977:AXL720977 ANL720977:ANP720977 ADP720977:ADT720977 TT720977:TX720977 JX720977:KB720977 AG720977:AK720977 WWJ655441:WWN655441 WMN655441:WMR655441 WCR655441:WCV655441 VSV655441:VSZ655441 VIZ655441:VJD655441 UZD655441:UZH655441 UPH655441:UPL655441 UFL655441:UFP655441 TVP655441:TVT655441 TLT655441:TLX655441 TBX655441:TCB655441 SSB655441:SSF655441 SIF655441:SIJ655441 RYJ655441:RYN655441 RON655441:ROR655441 RER655441:REV655441 QUV655441:QUZ655441 QKZ655441:QLD655441 QBD655441:QBH655441 PRH655441:PRL655441 PHL655441:PHP655441 OXP655441:OXT655441 ONT655441:ONX655441 ODX655441:OEB655441 NUB655441:NUF655441 NKF655441:NKJ655441 NAJ655441:NAN655441 MQN655441:MQR655441 MGR655441:MGV655441 LWV655441:LWZ655441 LMZ655441:LND655441 LDD655441:LDH655441 KTH655441:KTL655441 KJL655441:KJP655441 JZP655441:JZT655441 JPT655441:JPX655441 JFX655441:JGB655441 IWB655441:IWF655441 IMF655441:IMJ655441 ICJ655441:ICN655441 HSN655441:HSR655441 HIR655441:HIV655441 GYV655441:GYZ655441 GOZ655441:GPD655441 GFD655441:GFH655441 FVH655441:FVL655441 FLL655441:FLP655441 FBP655441:FBT655441 ERT655441:ERX655441 EHX655441:EIB655441 DYB655441:DYF655441 DOF655441:DOJ655441 DEJ655441:DEN655441 CUN655441:CUR655441 CKR655441:CKV655441 CAV655441:CAZ655441 BQZ655441:BRD655441 BHD655441:BHH655441 AXH655441:AXL655441 ANL655441:ANP655441 ADP655441:ADT655441 TT655441:TX655441 JX655441:KB655441 AG655441:AK655441 WWJ589905:WWN589905 WMN589905:WMR589905 WCR589905:WCV589905 VSV589905:VSZ589905 VIZ589905:VJD589905 UZD589905:UZH589905 UPH589905:UPL589905 UFL589905:UFP589905 TVP589905:TVT589905 TLT589905:TLX589905 TBX589905:TCB589905 SSB589905:SSF589905 SIF589905:SIJ589905 RYJ589905:RYN589905 RON589905:ROR589905 RER589905:REV589905 QUV589905:QUZ589905 QKZ589905:QLD589905 QBD589905:QBH589905 PRH589905:PRL589905 PHL589905:PHP589905 OXP589905:OXT589905 ONT589905:ONX589905 ODX589905:OEB589905 NUB589905:NUF589905 NKF589905:NKJ589905 NAJ589905:NAN589905 MQN589905:MQR589905 MGR589905:MGV589905 LWV589905:LWZ589905 LMZ589905:LND589905 LDD589905:LDH589905 KTH589905:KTL589905 KJL589905:KJP589905 JZP589905:JZT589905 JPT589905:JPX589905 JFX589905:JGB589905 IWB589905:IWF589905 IMF589905:IMJ589905 ICJ589905:ICN589905 HSN589905:HSR589905 HIR589905:HIV589905 GYV589905:GYZ589905 GOZ589905:GPD589905 GFD589905:GFH589905 FVH589905:FVL589905 FLL589905:FLP589905 FBP589905:FBT589905 ERT589905:ERX589905 EHX589905:EIB589905 DYB589905:DYF589905 DOF589905:DOJ589905 DEJ589905:DEN589905 CUN589905:CUR589905 CKR589905:CKV589905 CAV589905:CAZ589905 BQZ589905:BRD589905 BHD589905:BHH589905 AXH589905:AXL589905 ANL589905:ANP589905 ADP589905:ADT589905 TT589905:TX589905 JX589905:KB589905 AG589905:AK589905 WWJ524369:WWN524369 WMN524369:WMR524369 WCR524369:WCV524369 VSV524369:VSZ524369 VIZ524369:VJD524369 UZD524369:UZH524369 UPH524369:UPL524369 UFL524369:UFP524369 TVP524369:TVT524369 TLT524369:TLX524369 TBX524369:TCB524369 SSB524369:SSF524369 SIF524369:SIJ524369 RYJ524369:RYN524369 RON524369:ROR524369 RER524369:REV524369 QUV524369:QUZ524369 QKZ524369:QLD524369 QBD524369:QBH524369 PRH524369:PRL524369 PHL524369:PHP524369 OXP524369:OXT524369 ONT524369:ONX524369 ODX524369:OEB524369 NUB524369:NUF524369 NKF524369:NKJ524369 NAJ524369:NAN524369 MQN524369:MQR524369 MGR524369:MGV524369 LWV524369:LWZ524369 LMZ524369:LND524369 LDD524369:LDH524369 KTH524369:KTL524369 KJL524369:KJP524369 JZP524369:JZT524369 JPT524369:JPX524369 JFX524369:JGB524369 IWB524369:IWF524369 IMF524369:IMJ524369 ICJ524369:ICN524369 HSN524369:HSR524369 HIR524369:HIV524369 GYV524369:GYZ524369 GOZ524369:GPD524369 GFD524369:GFH524369 FVH524369:FVL524369 FLL524369:FLP524369 FBP524369:FBT524369 ERT524369:ERX524369 EHX524369:EIB524369 DYB524369:DYF524369 DOF524369:DOJ524369 DEJ524369:DEN524369 CUN524369:CUR524369 CKR524369:CKV524369 CAV524369:CAZ524369 BQZ524369:BRD524369 BHD524369:BHH524369 AXH524369:AXL524369 ANL524369:ANP524369 ADP524369:ADT524369 TT524369:TX524369 JX524369:KB524369 AG524369:AK524369 WWJ458833:WWN458833 WMN458833:WMR458833 WCR458833:WCV458833 VSV458833:VSZ458833 VIZ458833:VJD458833 UZD458833:UZH458833 UPH458833:UPL458833 UFL458833:UFP458833 TVP458833:TVT458833 TLT458833:TLX458833 TBX458833:TCB458833 SSB458833:SSF458833 SIF458833:SIJ458833 RYJ458833:RYN458833 RON458833:ROR458833 RER458833:REV458833 QUV458833:QUZ458833 QKZ458833:QLD458833 QBD458833:QBH458833 PRH458833:PRL458833 PHL458833:PHP458833 OXP458833:OXT458833 ONT458833:ONX458833 ODX458833:OEB458833 NUB458833:NUF458833 NKF458833:NKJ458833 NAJ458833:NAN458833 MQN458833:MQR458833 MGR458833:MGV458833 LWV458833:LWZ458833 LMZ458833:LND458833 LDD458833:LDH458833 KTH458833:KTL458833 KJL458833:KJP458833 JZP458833:JZT458833 JPT458833:JPX458833 JFX458833:JGB458833 IWB458833:IWF458833 IMF458833:IMJ458833 ICJ458833:ICN458833 HSN458833:HSR458833 HIR458833:HIV458833 GYV458833:GYZ458833 GOZ458833:GPD458833 GFD458833:GFH458833 FVH458833:FVL458833 FLL458833:FLP458833 FBP458833:FBT458833 ERT458833:ERX458833 EHX458833:EIB458833 DYB458833:DYF458833 DOF458833:DOJ458833 DEJ458833:DEN458833 CUN458833:CUR458833 CKR458833:CKV458833 CAV458833:CAZ458833 BQZ458833:BRD458833 BHD458833:BHH458833 AXH458833:AXL458833 ANL458833:ANP458833 ADP458833:ADT458833 TT458833:TX458833 JX458833:KB458833 AG458833:AK458833 WWJ393297:WWN393297 WMN393297:WMR393297 WCR393297:WCV393297 VSV393297:VSZ393297 VIZ393297:VJD393297 UZD393297:UZH393297 UPH393297:UPL393297 UFL393297:UFP393297 TVP393297:TVT393297 TLT393297:TLX393297 TBX393297:TCB393297 SSB393297:SSF393297 SIF393297:SIJ393297 RYJ393297:RYN393297 RON393297:ROR393297 RER393297:REV393297 QUV393297:QUZ393297 QKZ393297:QLD393297 QBD393297:QBH393297 PRH393297:PRL393297 PHL393297:PHP393297 OXP393297:OXT393297 ONT393297:ONX393297 ODX393297:OEB393297 NUB393297:NUF393297 NKF393297:NKJ393297 NAJ393297:NAN393297 MQN393297:MQR393297 MGR393297:MGV393297 LWV393297:LWZ393297 LMZ393297:LND393297 LDD393297:LDH393297 KTH393297:KTL393297 KJL393297:KJP393297 JZP393297:JZT393297 JPT393297:JPX393297 JFX393297:JGB393297 IWB393297:IWF393297 IMF393297:IMJ393297 ICJ393297:ICN393297 HSN393297:HSR393297 HIR393297:HIV393297 GYV393297:GYZ393297 GOZ393297:GPD393297 GFD393297:GFH393297 FVH393297:FVL393297 FLL393297:FLP393297 FBP393297:FBT393297 ERT393297:ERX393297 EHX393297:EIB393297 DYB393297:DYF393297 DOF393297:DOJ393297 DEJ393297:DEN393297 CUN393297:CUR393297 CKR393297:CKV393297 CAV393297:CAZ393297 BQZ393297:BRD393297 BHD393297:BHH393297 AXH393297:AXL393297 ANL393297:ANP393297 ADP393297:ADT393297 TT393297:TX393297 JX393297:KB393297 AG393297:AK393297 WWJ327761:WWN327761 WMN327761:WMR327761 WCR327761:WCV327761 VSV327761:VSZ327761 VIZ327761:VJD327761 UZD327761:UZH327761 UPH327761:UPL327761 UFL327761:UFP327761 TVP327761:TVT327761 TLT327761:TLX327761 TBX327761:TCB327761 SSB327761:SSF327761 SIF327761:SIJ327761 RYJ327761:RYN327761 RON327761:ROR327761 RER327761:REV327761 QUV327761:QUZ327761 QKZ327761:QLD327761 QBD327761:QBH327761 PRH327761:PRL327761 PHL327761:PHP327761 OXP327761:OXT327761 ONT327761:ONX327761 ODX327761:OEB327761 NUB327761:NUF327761 NKF327761:NKJ327761 NAJ327761:NAN327761 MQN327761:MQR327761 MGR327761:MGV327761 LWV327761:LWZ327761 LMZ327761:LND327761 LDD327761:LDH327761 KTH327761:KTL327761 KJL327761:KJP327761 JZP327761:JZT327761 JPT327761:JPX327761 JFX327761:JGB327761 IWB327761:IWF327761 IMF327761:IMJ327761 ICJ327761:ICN327761 HSN327761:HSR327761 HIR327761:HIV327761 GYV327761:GYZ327761 GOZ327761:GPD327761 GFD327761:GFH327761 FVH327761:FVL327761 FLL327761:FLP327761 FBP327761:FBT327761 ERT327761:ERX327761 EHX327761:EIB327761 DYB327761:DYF327761 DOF327761:DOJ327761 DEJ327761:DEN327761 CUN327761:CUR327761 CKR327761:CKV327761 CAV327761:CAZ327761 BQZ327761:BRD327761 BHD327761:BHH327761 AXH327761:AXL327761 ANL327761:ANP327761 ADP327761:ADT327761 TT327761:TX327761 JX327761:KB327761 AG327761:AK327761 WWJ262225:WWN262225 WMN262225:WMR262225 WCR262225:WCV262225 VSV262225:VSZ262225 VIZ262225:VJD262225 UZD262225:UZH262225 UPH262225:UPL262225 UFL262225:UFP262225 TVP262225:TVT262225 TLT262225:TLX262225 TBX262225:TCB262225 SSB262225:SSF262225 SIF262225:SIJ262225 RYJ262225:RYN262225 RON262225:ROR262225 RER262225:REV262225 QUV262225:QUZ262225 QKZ262225:QLD262225 QBD262225:QBH262225 PRH262225:PRL262225 PHL262225:PHP262225 OXP262225:OXT262225 ONT262225:ONX262225 ODX262225:OEB262225 NUB262225:NUF262225 NKF262225:NKJ262225 NAJ262225:NAN262225 MQN262225:MQR262225 MGR262225:MGV262225 LWV262225:LWZ262225 LMZ262225:LND262225 LDD262225:LDH262225 KTH262225:KTL262225 KJL262225:KJP262225 JZP262225:JZT262225 JPT262225:JPX262225 JFX262225:JGB262225 IWB262225:IWF262225 IMF262225:IMJ262225 ICJ262225:ICN262225 HSN262225:HSR262225 HIR262225:HIV262225 GYV262225:GYZ262225 GOZ262225:GPD262225 GFD262225:GFH262225 FVH262225:FVL262225 FLL262225:FLP262225 FBP262225:FBT262225 ERT262225:ERX262225 EHX262225:EIB262225 DYB262225:DYF262225 DOF262225:DOJ262225 DEJ262225:DEN262225 CUN262225:CUR262225 CKR262225:CKV262225 CAV262225:CAZ262225 BQZ262225:BRD262225 BHD262225:BHH262225 AXH262225:AXL262225 ANL262225:ANP262225 ADP262225:ADT262225 TT262225:TX262225 JX262225:KB262225 AG262225:AK262225 WWJ196689:WWN196689 WMN196689:WMR196689 WCR196689:WCV196689 VSV196689:VSZ196689 VIZ196689:VJD196689 UZD196689:UZH196689 UPH196689:UPL196689 UFL196689:UFP196689 TVP196689:TVT196689 TLT196689:TLX196689 TBX196689:TCB196689 SSB196689:SSF196689 SIF196689:SIJ196689 RYJ196689:RYN196689 RON196689:ROR196689 RER196689:REV196689 QUV196689:QUZ196689 QKZ196689:QLD196689 QBD196689:QBH196689 PRH196689:PRL196689 PHL196689:PHP196689 OXP196689:OXT196689 ONT196689:ONX196689 ODX196689:OEB196689 NUB196689:NUF196689 NKF196689:NKJ196689 NAJ196689:NAN196689 MQN196689:MQR196689 MGR196689:MGV196689 LWV196689:LWZ196689 LMZ196689:LND196689 LDD196689:LDH196689 KTH196689:KTL196689 KJL196689:KJP196689 JZP196689:JZT196689 JPT196689:JPX196689 JFX196689:JGB196689 IWB196689:IWF196689 IMF196689:IMJ196689 ICJ196689:ICN196689 HSN196689:HSR196689 HIR196689:HIV196689 GYV196689:GYZ196689 GOZ196689:GPD196689 GFD196689:GFH196689 FVH196689:FVL196689 FLL196689:FLP196689 FBP196689:FBT196689 ERT196689:ERX196689 EHX196689:EIB196689 DYB196689:DYF196689 DOF196689:DOJ196689 DEJ196689:DEN196689 CUN196689:CUR196689 CKR196689:CKV196689 CAV196689:CAZ196689 BQZ196689:BRD196689 BHD196689:BHH196689 AXH196689:AXL196689 ANL196689:ANP196689 ADP196689:ADT196689 TT196689:TX196689 JX196689:KB196689 AG196689:AK196689 WWJ131153:WWN131153 WMN131153:WMR131153 WCR131153:WCV131153 VSV131153:VSZ131153 VIZ131153:VJD131153 UZD131153:UZH131153 UPH131153:UPL131153 UFL131153:UFP131153 TVP131153:TVT131153 TLT131153:TLX131153 TBX131153:TCB131153 SSB131153:SSF131153 SIF131153:SIJ131153 RYJ131153:RYN131153 RON131153:ROR131153 RER131153:REV131153 QUV131153:QUZ131153 QKZ131153:QLD131153 QBD131153:QBH131153 PRH131153:PRL131153 PHL131153:PHP131153 OXP131153:OXT131153 ONT131153:ONX131153 ODX131153:OEB131153 NUB131153:NUF131153 NKF131153:NKJ131153 NAJ131153:NAN131153 MQN131153:MQR131153 MGR131153:MGV131153 LWV131153:LWZ131153 LMZ131153:LND131153 LDD131153:LDH131153 KTH131153:KTL131153 KJL131153:KJP131153 JZP131153:JZT131153 JPT131153:JPX131153 JFX131153:JGB131153 IWB131153:IWF131153 IMF131153:IMJ131153 ICJ131153:ICN131153 HSN131153:HSR131153 HIR131153:HIV131153 GYV131153:GYZ131153 GOZ131153:GPD131153 GFD131153:GFH131153 FVH131153:FVL131153 FLL131153:FLP131153 FBP131153:FBT131153 ERT131153:ERX131153 EHX131153:EIB131153 DYB131153:DYF131153 DOF131153:DOJ131153 DEJ131153:DEN131153 CUN131153:CUR131153 CKR131153:CKV131153 CAV131153:CAZ131153 BQZ131153:BRD131153 BHD131153:BHH131153 AXH131153:AXL131153 ANL131153:ANP131153 ADP131153:ADT131153 TT131153:TX131153 JX131153:KB131153 AG131153:AK131153 WWJ65617:WWN65617 WMN65617:WMR65617 WCR65617:WCV65617 VSV65617:VSZ65617 VIZ65617:VJD65617 UZD65617:UZH65617 UPH65617:UPL65617 UFL65617:UFP65617 TVP65617:TVT65617 TLT65617:TLX65617 TBX65617:TCB65617 SSB65617:SSF65617 SIF65617:SIJ65617 RYJ65617:RYN65617 RON65617:ROR65617 RER65617:REV65617 QUV65617:QUZ65617 QKZ65617:QLD65617 QBD65617:QBH65617 PRH65617:PRL65617 PHL65617:PHP65617 OXP65617:OXT65617 ONT65617:ONX65617 ODX65617:OEB65617 NUB65617:NUF65617 NKF65617:NKJ65617 NAJ65617:NAN65617 MQN65617:MQR65617 MGR65617:MGV65617 LWV65617:LWZ65617 LMZ65617:LND65617 LDD65617:LDH65617 KTH65617:KTL65617 KJL65617:KJP65617 JZP65617:JZT65617 JPT65617:JPX65617 JFX65617:JGB65617 IWB65617:IWF65617 IMF65617:IMJ65617 ICJ65617:ICN65617 HSN65617:HSR65617 HIR65617:HIV65617 GYV65617:GYZ65617 GOZ65617:GPD65617 GFD65617:GFH65617 FVH65617:FVL65617 FLL65617:FLP65617 FBP65617:FBT65617 ERT65617:ERX65617 EHX65617:EIB65617 DYB65617:DYF65617 DOF65617:DOJ65617 DEJ65617:DEN65617 CUN65617:CUR65617 CKR65617:CKV65617 CAV65617:CAZ65617 BQZ65617:BRD65617 BHD65617:BHH65617 AXH65617:AXL65617 ANL65617:ANP65617 ADP65617:ADT65617 TT65617:TX65617 JX65617:KB65617 AG65617:AK65617 WWJ73:WWN73 WMN73:WMR73 WCR73:WCV73 VSV73:VSZ73 VIZ73:VJD73 UZD73:UZH73 UPH73:UPL73 UFL73:UFP73 TVP73:TVT73 TLT73:TLX73 TBX73:TCB73 SSB73:SSF73 SIF73:SIJ73 RYJ73:RYN73 RON73:ROR73 RER73:REV73 QUV73:QUZ73 QKZ73:QLD73 QBD73:QBH73 PRH73:PRL73 PHL73:PHP73 OXP73:OXT73 ONT73:ONX73 ODX73:OEB73 NUB73:NUF73 NKF73:NKJ73 NAJ73:NAN73 MQN73:MQR73 MGR73:MGV73 LWV73:LWZ73 LMZ73:LND73 LDD73:LDH73 KTH73:KTL73 KJL73:KJP73 JZP73:JZT73 JPT73:JPX73 JFX73:JGB73 IWB73:IWF73 IMF73:IMJ73 ICJ73:ICN73 HSN73:HSR73 HIR73:HIV73 GYV73:GYZ73 GOZ73:GPD73 GFD73:GFH73 FVH73:FVL73 FLL73:FLP73 FBP73:FBT73 ERT73:ERX73 EHX73:EIB73 DYB73:DYF73 DOF73:DOJ73 DEJ73:DEN73 CUN73:CUR73 CKR73:CKV73 CAV73:CAZ73 BQZ73:BRD73 BHD73:BHH73 AXH73:AXL73 ANL73:ANP73 ADP73:ADT73 TT73:TX73 JX73:KB73 AG73:AK73 WWJ983131:WWN983131 WMN983131:WMR983131 WCR983131:WCV983131 VSV983131:VSZ983131 VIZ983131:VJD983131 UZD983131:UZH983131 UPH983131:UPL983131 UFL983131:UFP983131 TVP983131:TVT983131 TLT983131:TLX983131 TBX983131:TCB983131 SSB983131:SSF983131 SIF983131:SIJ983131 RYJ983131:RYN983131 RON983131:ROR983131 RER983131:REV983131 QUV983131:QUZ983131 QKZ983131:QLD983131 QBD983131:QBH983131 PRH983131:PRL983131 PHL983131:PHP983131 OXP983131:OXT983131 ONT983131:ONX983131 ODX983131:OEB983131 NUB983131:NUF983131 NKF983131:NKJ983131 NAJ983131:NAN983131 MQN983131:MQR983131 MGR983131:MGV983131 LWV983131:LWZ983131 LMZ983131:LND983131 LDD983131:LDH983131 KTH983131:KTL983131 KJL983131:KJP983131 JZP983131:JZT983131 JPT983131:JPX983131 JFX983131:JGB983131 IWB983131:IWF983131 IMF983131:IMJ983131 ICJ983131:ICN983131 HSN983131:HSR983131 HIR983131:HIV983131 GYV983131:GYZ983131 GOZ983131:GPD983131 GFD983131:GFH983131 FVH983131:FVL983131 FLL983131:FLP983131 FBP983131:FBT983131 ERT983131:ERX983131 EHX983131:EIB983131 DYB983131:DYF983131 DOF983131:DOJ983131 DEJ983131:DEN983131 CUN983131:CUR983131 CKR983131:CKV983131 CAV983131:CAZ983131 BQZ983131:BRD983131 BHD983131:BHH983131 AXH983131:AXL983131 ANL983131:ANP983131 ADP983131:ADT983131 TT983131:TX983131 JX983131:KB983131 AG983131:AK983131 WWJ917595:WWN917595 WMN917595:WMR917595 WCR917595:WCV917595 VSV917595:VSZ917595 VIZ917595:VJD917595 UZD917595:UZH917595 UPH917595:UPL917595 UFL917595:UFP917595 TVP917595:TVT917595 TLT917595:TLX917595 TBX917595:TCB917595 SSB917595:SSF917595 SIF917595:SIJ917595 RYJ917595:RYN917595 RON917595:ROR917595 RER917595:REV917595 QUV917595:QUZ917595 QKZ917595:QLD917595 QBD917595:QBH917595 PRH917595:PRL917595 PHL917595:PHP917595 OXP917595:OXT917595 ONT917595:ONX917595 ODX917595:OEB917595 NUB917595:NUF917595 NKF917595:NKJ917595 NAJ917595:NAN917595 MQN917595:MQR917595 MGR917595:MGV917595 LWV917595:LWZ917595 LMZ917595:LND917595 LDD917595:LDH917595 KTH917595:KTL917595 KJL917595:KJP917595 JZP917595:JZT917595 JPT917595:JPX917595 JFX917595:JGB917595 IWB917595:IWF917595 IMF917595:IMJ917595 ICJ917595:ICN917595 HSN917595:HSR917595 HIR917595:HIV917595 GYV917595:GYZ917595 GOZ917595:GPD917595 GFD917595:GFH917595 FVH917595:FVL917595 FLL917595:FLP917595 FBP917595:FBT917595 ERT917595:ERX917595 EHX917595:EIB917595 DYB917595:DYF917595 DOF917595:DOJ917595 DEJ917595:DEN917595 CUN917595:CUR917595 CKR917595:CKV917595 CAV917595:CAZ917595 BQZ917595:BRD917595 BHD917595:BHH917595 AXH917595:AXL917595 ANL917595:ANP917595 ADP917595:ADT917595 TT917595:TX917595 JX917595:KB917595 AG917595:AK917595 WWJ852059:WWN852059 WMN852059:WMR852059 WCR852059:WCV852059 VSV852059:VSZ852059 VIZ852059:VJD852059 UZD852059:UZH852059 UPH852059:UPL852059 UFL852059:UFP852059 TVP852059:TVT852059 TLT852059:TLX852059 TBX852059:TCB852059 SSB852059:SSF852059 SIF852059:SIJ852059 RYJ852059:RYN852059 RON852059:ROR852059 RER852059:REV852059 QUV852059:QUZ852059 QKZ852059:QLD852059 QBD852059:QBH852059 PRH852059:PRL852059 PHL852059:PHP852059 OXP852059:OXT852059 ONT852059:ONX852059 ODX852059:OEB852059 NUB852059:NUF852059 NKF852059:NKJ852059 NAJ852059:NAN852059 MQN852059:MQR852059 MGR852059:MGV852059 LWV852059:LWZ852059 LMZ852059:LND852059 LDD852059:LDH852059 KTH852059:KTL852059 KJL852059:KJP852059 JZP852059:JZT852059 JPT852059:JPX852059 JFX852059:JGB852059 IWB852059:IWF852059 IMF852059:IMJ852059 ICJ852059:ICN852059 HSN852059:HSR852059 HIR852059:HIV852059 GYV852059:GYZ852059 GOZ852059:GPD852059 GFD852059:GFH852059 FVH852059:FVL852059 FLL852059:FLP852059 FBP852059:FBT852059 ERT852059:ERX852059 EHX852059:EIB852059 DYB852059:DYF852059 DOF852059:DOJ852059 DEJ852059:DEN852059 CUN852059:CUR852059 CKR852059:CKV852059 CAV852059:CAZ852059 BQZ852059:BRD852059 BHD852059:BHH852059 AXH852059:AXL852059 ANL852059:ANP852059 ADP852059:ADT852059 TT852059:TX852059 JX852059:KB852059 AG852059:AK852059 WWJ786523:WWN786523 WMN786523:WMR786523 WCR786523:WCV786523 VSV786523:VSZ786523 VIZ786523:VJD786523 UZD786523:UZH786523 UPH786523:UPL786523 UFL786523:UFP786523 TVP786523:TVT786523 TLT786523:TLX786523 TBX786523:TCB786523 SSB786523:SSF786523 SIF786523:SIJ786523 RYJ786523:RYN786523 RON786523:ROR786523 RER786523:REV786523 QUV786523:QUZ786523 QKZ786523:QLD786523 QBD786523:QBH786523 PRH786523:PRL786523 PHL786523:PHP786523 OXP786523:OXT786523 ONT786523:ONX786523 ODX786523:OEB786523 NUB786523:NUF786523 NKF786523:NKJ786523 NAJ786523:NAN786523 MQN786523:MQR786523 MGR786523:MGV786523 LWV786523:LWZ786523 LMZ786523:LND786523 LDD786523:LDH786523 KTH786523:KTL786523 KJL786523:KJP786523 JZP786523:JZT786523 JPT786523:JPX786523 JFX786523:JGB786523 IWB786523:IWF786523 IMF786523:IMJ786523 ICJ786523:ICN786523 HSN786523:HSR786523 HIR786523:HIV786523 GYV786523:GYZ786523 GOZ786523:GPD786523 GFD786523:GFH786523 FVH786523:FVL786523 FLL786523:FLP786523 FBP786523:FBT786523 ERT786523:ERX786523 EHX786523:EIB786523 DYB786523:DYF786523 DOF786523:DOJ786523 DEJ786523:DEN786523 CUN786523:CUR786523 CKR786523:CKV786523 CAV786523:CAZ786523 BQZ786523:BRD786523 BHD786523:BHH786523 AXH786523:AXL786523 ANL786523:ANP786523 ADP786523:ADT786523 TT786523:TX786523 JX786523:KB786523 AG786523:AK786523 WWJ720987:WWN720987 WMN720987:WMR720987 WCR720987:WCV720987 VSV720987:VSZ720987 VIZ720987:VJD720987 UZD720987:UZH720987 UPH720987:UPL720987 UFL720987:UFP720987 TVP720987:TVT720987 TLT720987:TLX720987 TBX720987:TCB720987 SSB720987:SSF720987 SIF720987:SIJ720987 RYJ720987:RYN720987 RON720987:ROR720987 RER720987:REV720987 QUV720987:QUZ720987 QKZ720987:QLD720987 QBD720987:QBH720987 PRH720987:PRL720987 PHL720987:PHP720987 OXP720987:OXT720987 ONT720987:ONX720987 ODX720987:OEB720987 NUB720987:NUF720987 NKF720987:NKJ720987 NAJ720987:NAN720987 MQN720987:MQR720987 MGR720987:MGV720987 LWV720987:LWZ720987 LMZ720987:LND720987 LDD720987:LDH720987 KTH720987:KTL720987 KJL720987:KJP720987 JZP720987:JZT720987 JPT720987:JPX720987 JFX720987:JGB720987 IWB720987:IWF720987 IMF720987:IMJ720987 ICJ720987:ICN720987 HSN720987:HSR720987 HIR720987:HIV720987 GYV720987:GYZ720987 GOZ720987:GPD720987 GFD720987:GFH720987 FVH720987:FVL720987 FLL720987:FLP720987 FBP720987:FBT720987 ERT720987:ERX720987 EHX720987:EIB720987 DYB720987:DYF720987 DOF720987:DOJ720987 DEJ720987:DEN720987 CUN720987:CUR720987 CKR720987:CKV720987 CAV720987:CAZ720987 BQZ720987:BRD720987 BHD720987:BHH720987 AXH720987:AXL720987 ANL720987:ANP720987 ADP720987:ADT720987 TT720987:TX720987 JX720987:KB720987 AG720987:AK720987 WWJ655451:WWN655451 WMN655451:WMR655451 WCR655451:WCV655451 VSV655451:VSZ655451 VIZ655451:VJD655451 UZD655451:UZH655451 UPH655451:UPL655451 UFL655451:UFP655451 TVP655451:TVT655451 TLT655451:TLX655451 TBX655451:TCB655451 SSB655451:SSF655451 SIF655451:SIJ655451 RYJ655451:RYN655451 RON655451:ROR655451 RER655451:REV655451 QUV655451:QUZ655451 QKZ655451:QLD655451 QBD655451:QBH655451 PRH655451:PRL655451 PHL655451:PHP655451 OXP655451:OXT655451 ONT655451:ONX655451 ODX655451:OEB655451 NUB655451:NUF655451 NKF655451:NKJ655451 NAJ655451:NAN655451 MQN655451:MQR655451 MGR655451:MGV655451 LWV655451:LWZ655451 LMZ655451:LND655451 LDD655451:LDH655451 KTH655451:KTL655451 KJL655451:KJP655451 JZP655451:JZT655451 JPT655451:JPX655451 JFX655451:JGB655451 IWB655451:IWF655451 IMF655451:IMJ655451 ICJ655451:ICN655451 HSN655451:HSR655451 HIR655451:HIV655451 GYV655451:GYZ655451 GOZ655451:GPD655451 GFD655451:GFH655451 FVH655451:FVL655451 FLL655451:FLP655451 FBP655451:FBT655451 ERT655451:ERX655451 EHX655451:EIB655451 DYB655451:DYF655451 DOF655451:DOJ655451 DEJ655451:DEN655451 CUN655451:CUR655451 CKR655451:CKV655451 CAV655451:CAZ655451 BQZ655451:BRD655451 BHD655451:BHH655451 AXH655451:AXL655451 ANL655451:ANP655451 ADP655451:ADT655451 TT655451:TX655451 JX655451:KB655451 AG655451:AK655451 WWJ589915:WWN589915 WMN589915:WMR589915 WCR589915:WCV589915 VSV589915:VSZ589915 VIZ589915:VJD589915 UZD589915:UZH589915 UPH589915:UPL589915 UFL589915:UFP589915 TVP589915:TVT589915 TLT589915:TLX589915 TBX589915:TCB589915 SSB589915:SSF589915 SIF589915:SIJ589915 RYJ589915:RYN589915 RON589915:ROR589915 RER589915:REV589915 QUV589915:QUZ589915 QKZ589915:QLD589915 QBD589915:QBH589915 PRH589915:PRL589915 PHL589915:PHP589915 OXP589915:OXT589915 ONT589915:ONX589915 ODX589915:OEB589915 NUB589915:NUF589915 NKF589915:NKJ589915 NAJ589915:NAN589915 MQN589915:MQR589915 MGR589915:MGV589915 LWV589915:LWZ589915 LMZ589915:LND589915 LDD589915:LDH589915 KTH589915:KTL589915 KJL589915:KJP589915 JZP589915:JZT589915 JPT589915:JPX589915 JFX589915:JGB589915 IWB589915:IWF589915 IMF589915:IMJ589915 ICJ589915:ICN589915 HSN589915:HSR589915 HIR589915:HIV589915 GYV589915:GYZ589915 GOZ589915:GPD589915 GFD589915:GFH589915 FVH589915:FVL589915 FLL589915:FLP589915 FBP589915:FBT589915 ERT589915:ERX589915 EHX589915:EIB589915 DYB589915:DYF589915 DOF589915:DOJ589915 DEJ589915:DEN589915 CUN589915:CUR589915 CKR589915:CKV589915 CAV589915:CAZ589915 BQZ589915:BRD589915 BHD589915:BHH589915 AXH589915:AXL589915 ANL589915:ANP589915 ADP589915:ADT589915 TT589915:TX589915 JX589915:KB589915 AG589915:AK589915 WWJ524379:WWN524379 WMN524379:WMR524379 WCR524379:WCV524379 VSV524379:VSZ524379 VIZ524379:VJD524379 UZD524379:UZH524379 UPH524379:UPL524379 UFL524379:UFP524379 TVP524379:TVT524379 TLT524379:TLX524379 TBX524379:TCB524379 SSB524379:SSF524379 SIF524379:SIJ524379 RYJ524379:RYN524379 RON524379:ROR524379 RER524379:REV524379 QUV524379:QUZ524379 QKZ524379:QLD524379 QBD524379:QBH524379 PRH524379:PRL524379 PHL524379:PHP524379 OXP524379:OXT524379 ONT524379:ONX524379 ODX524379:OEB524379 NUB524379:NUF524379 NKF524379:NKJ524379 NAJ524379:NAN524379 MQN524379:MQR524379 MGR524379:MGV524379 LWV524379:LWZ524379 LMZ524379:LND524379 LDD524379:LDH524379 KTH524379:KTL524379 KJL524379:KJP524379 JZP524379:JZT524379 JPT524379:JPX524379 JFX524379:JGB524379 IWB524379:IWF524379 IMF524379:IMJ524379 ICJ524379:ICN524379 HSN524379:HSR524379 HIR524379:HIV524379 GYV524379:GYZ524379 GOZ524379:GPD524379 GFD524379:GFH524379 FVH524379:FVL524379 FLL524379:FLP524379 FBP524379:FBT524379 ERT524379:ERX524379 EHX524379:EIB524379 DYB524379:DYF524379 DOF524379:DOJ524379 DEJ524379:DEN524379 CUN524379:CUR524379 CKR524379:CKV524379 CAV524379:CAZ524379 BQZ524379:BRD524379 BHD524379:BHH524379 AXH524379:AXL524379 ANL524379:ANP524379 ADP524379:ADT524379 TT524379:TX524379 JX524379:KB524379 AG524379:AK524379 WWJ458843:WWN458843 WMN458843:WMR458843 WCR458843:WCV458843 VSV458843:VSZ458843 VIZ458843:VJD458843 UZD458843:UZH458843 UPH458843:UPL458843 UFL458843:UFP458843 TVP458843:TVT458843 TLT458843:TLX458843 TBX458843:TCB458843 SSB458843:SSF458843 SIF458843:SIJ458843 RYJ458843:RYN458843 RON458843:ROR458843 RER458843:REV458843 QUV458843:QUZ458843 QKZ458843:QLD458843 QBD458843:QBH458843 PRH458843:PRL458843 PHL458843:PHP458843 OXP458843:OXT458843 ONT458843:ONX458843 ODX458843:OEB458843 NUB458843:NUF458843 NKF458843:NKJ458843 NAJ458843:NAN458843 MQN458843:MQR458843 MGR458843:MGV458843 LWV458843:LWZ458843 LMZ458843:LND458843 LDD458843:LDH458843 KTH458843:KTL458843 KJL458843:KJP458843 JZP458843:JZT458843 JPT458843:JPX458843 JFX458843:JGB458843 IWB458843:IWF458843 IMF458843:IMJ458843 ICJ458843:ICN458843 HSN458843:HSR458843 HIR458843:HIV458843 GYV458843:GYZ458843 GOZ458843:GPD458843 GFD458843:GFH458843 FVH458843:FVL458843 FLL458843:FLP458843 FBP458843:FBT458843 ERT458843:ERX458843 EHX458843:EIB458843 DYB458843:DYF458843 DOF458843:DOJ458843 DEJ458843:DEN458843 CUN458843:CUR458843 CKR458843:CKV458843 CAV458843:CAZ458843 BQZ458843:BRD458843 BHD458843:BHH458843 AXH458843:AXL458843 ANL458843:ANP458843 ADP458843:ADT458843 TT458843:TX458843 JX458843:KB458843 AG458843:AK458843 WWJ393307:WWN393307 WMN393307:WMR393307 WCR393307:WCV393307 VSV393307:VSZ393307 VIZ393307:VJD393307 UZD393307:UZH393307 UPH393307:UPL393307 UFL393307:UFP393307 TVP393307:TVT393307 TLT393307:TLX393307 TBX393307:TCB393307 SSB393307:SSF393307 SIF393307:SIJ393307 RYJ393307:RYN393307 RON393307:ROR393307 RER393307:REV393307 QUV393307:QUZ393307 QKZ393307:QLD393307 QBD393307:QBH393307 PRH393307:PRL393307 PHL393307:PHP393307 OXP393307:OXT393307 ONT393307:ONX393307 ODX393307:OEB393307 NUB393307:NUF393307 NKF393307:NKJ393307 NAJ393307:NAN393307 MQN393307:MQR393307 MGR393307:MGV393307 LWV393307:LWZ393307 LMZ393307:LND393307 LDD393307:LDH393307 KTH393307:KTL393307 KJL393307:KJP393307 JZP393307:JZT393307 JPT393307:JPX393307 JFX393307:JGB393307 IWB393307:IWF393307 IMF393307:IMJ393307 ICJ393307:ICN393307 HSN393307:HSR393307 HIR393307:HIV393307 GYV393307:GYZ393307 GOZ393307:GPD393307 GFD393307:GFH393307 FVH393307:FVL393307 FLL393307:FLP393307 FBP393307:FBT393307 ERT393307:ERX393307 EHX393307:EIB393307 DYB393307:DYF393307 DOF393307:DOJ393307 DEJ393307:DEN393307 CUN393307:CUR393307 CKR393307:CKV393307 CAV393307:CAZ393307 BQZ393307:BRD393307 BHD393307:BHH393307 AXH393307:AXL393307 ANL393307:ANP393307 ADP393307:ADT393307 TT393307:TX393307 JX393307:KB393307 AG393307:AK393307 WWJ327771:WWN327771 WMN327771:WMR327771 WCR327771:WCV327771 VSV327771:VSZ327771 VIZ327771:VJD327771 UZD327771:UZH327771 UPH327771:UPL327771 UFL327771:UFP327771 TVP327771:TVT327771 TLT327771:TLX327771 TBX327771:TCB327771 SSB327771:SSF327771 SIF327771:SIJ327771 RYJ327771:RYN327771 RON327771:ROR327771 RER327771:REV327771 QUV327771:QUZ327771 QKZ327771:QLD327771 QBD327771:QBH327771 PRH327771:PRL327771 PHL327771:PHP327771 OXP327771:OXT327771 ONT327771:ONX327771 ODX327771:OEB327771 NUB327771:NUF327771 NKF327771:NKJ327771 NAJ327771:NAN327771 MQN327771:MQR327771 MGR327771:MGV327771 LWV327771:LWZ327771 LMZ327771:LND327771 LDD327771:LDH327771 KTH327771:KTL327771 KJL327771:KJP327771 JZP327771:JZT327771 JPT327771:JPX327771 JFX327771:JGB327771 IWB327771:IWF327771 IMF327771:IMJ327771 ICJ327771:ICN327771 HSN327771:HSR327771 HIR327771:HIV327771 GYV327771:GYZ327771 GOZ327771:GPD327771 GFD327771:GFH327771 FVH327771:FVL327771 FLL327771:FLP327771 FBP327771:FBT327771 ERT327771:ERX327771 EHX327771:EIB327771 DYB327771:DYF327771 DOF327771:DOJ327771 DEJ327771:DEN327771 CUN327771:CUR327771 CKR327771:CKV327771 CAV327771:CAZ327771 BQZ327771:BRD327771 BHD327771:BHH327771 AXH327771:AXL327771 ANL327771:ANP327771 ADP327771:ADT327771 TT327771:TX327771 JX327771:KB327771 AG327771:AK327771 WWJ262235:WWN262235 WMN262235:WMR262235 WCR262235:WCV262235 VSV262235:VSZ262235 VIZ262235:VJD262235 UZD262235:UZH262235 UPH262235:UPL262235 UFL262235:UFP262235 TVP262235:TVT262235 TLT262235:TLX262235 TBX262235:TCB262235 SSB262235:SSF262235 SIF262235:SIJ262235 RYJ262235:RYN262235 RON262235:ROR262235 RER262235:REV262235 QUV262235:QUZ262235 QKZ262235:QLD262235 QBD262235:QBH262235 PRH262235:PRL262235 PHL262235:PHP262235 OXP262235:OXT262235 ONT262235:ONX262235 ODX262235:OEB262235 NUB262235:NUF262235 NKF262235:NKJ262235 NAJ262235:NAN262235 MQN262235:MQR262235 MGR262235:MGV262235 LWV262235:LWZ262235 LMZ262235:LND262235 LDD262235:LDH262235 KTH262235:KTL262235 KJL262235:KJP262235 JZP262235:JZT262235 JPT262235:JPX262235 JFX262235:JGB262235 IWB262235:IWF262235 IMF262235:IMJ262235 ICJ262235:ICN262235 HSN262235:HSR262235 HIR262235:HIV262235 GYV262235:GYZ262235 GOZ262235:GPD262235 GFD262235:GFH262235 FVH262235:FVL262235 FLL262235:FLP262235 FBP262235:FBT262235 ERT262235:ERX262235 EHX262235:EIB262235 DYB262235:DYF262235 DOF262235:DOJ262235 DEJ262235:DEN262235 CUN262235:CUR262235 CKR262235:CKV262235 CAV262235:CAZ262235 BQZ262235:BRD262235 BHD262235:BHH262235 AXH262235:AXL262235 ANL262235:ANP262235 ADP262235:ADT262235 TT262235:TX262235 JX262235:KB262235 AG262235:AK262235 WWJ196699:WWN196699 WMN196699:WMR196699 WCR196699:WCV196699 VSV196699:VSZ196699 VIZ196699:VJD196699 UZD196699:UZH196699 UPH196699:UPL196699 UFL196699:UFP196699 TVP196699:TVT196699 TLT196699:TLX196699 TBX196699:TCB196699 SSB196699:SSF196699 SIF196699:SIJ196699 RYJ196699:RYN196699 RON196699:ROR196699 RER196699:REV196699 QUV196699:QUZ196699 QKZ196699:QLD196699 QBD196699:QBH196699 PRH196699:PRL196699 PHL196699:PHP196699 OXP196699:OXT196699 ONT196699:ONX196699 ODX196699:OEB196699 NUB196699:NUF196699 NKF196699:NKJ196699 NAJ196699:NAN196699 MQN196699:MQR196699 MGR196699:MGV196699 LWV196699:LWZ196699 LMZ196699:LND196699 LDD196699:LDH196699 KTH196699:KTL196699 KJL196699:KJP196699 JZP196699:JZT196699 JPT196699:JPX196699 JFX196699:JGB196699 IWB196699:IWF196699 IMF196699:IMJ196699 ICJ196699:ICN196699 HSN196699:HSR196699 HIR196699:HIV196699 GYV196699:GYZ196699 GOZ196699:GPD196699 GFD196699:GFH196699 FVH196699:FVL196699 FLL196699:FLP196699 FBP196699:FBT196699 ERT196699:ERX196699 EHX196699:EIB196699 DYB196699:DYF196699 DOF196699:DOJ196699 DEJ196699:DEN196699 CUN196699:CUR196699 CKR196699:CKV196699 CAV196699:CAZ196699 BQZ196699:BRD196699 BHD196699:BHH196699 AXH196699:AXL196699 ANL196699:ANP196699 ADP196699:ADT196699 TT196699:TX196699 JX196699:KB196699 AG196699:AK196699 WWJ131163:WWN131163 WMN131163:WMR131163 WCR131163:WCV131163 VSV131163:VSZ131163 VIZ131163:VJD131163 UZD131163:UZH131163 UPH131163:UPL131163 UFL131163:UFP131163 TVP131163:TVT131163 TLT131163:TLX131163 TBX131163:TCB131163 SSB131163:SSF131163 SIF131163:SIJ131163 RYJ131163:RYN131163 RON131163:ROR131163 RER131163:REV131163 QUV131163:QUZ131163 QKZ131163:QLD131163 QBD131163:QBH131163 PRH131163:PRL131163 PHL131163:PHP131163 OXP131163:OXT131163 ONT131163:ONX131163 ODX131163:OEB131163 NUB131163:NUF131163 NKF131163:NKJ131163 NAJ131163:NAN131163 MQN131163:MQR131163 MGR131163:MGV131163 LWV131163:LWZ131163 LMZ131163:LND131163 LDD131163:LDH131163 KTH131163:KTL131163 KJL131163:KJP131163 JZP131163:JZT131163 JPT131163:JPX131163 JFX131163:JGB131163 IWB131163:IWF131163 IMF131163:IMJ131163 ICJ131163:ICN131163 HSN131163:HSR131163 HIR131163:HIV131163 GYV131163:GYZ131163 GOZ131163:GPD131163 GFD131163:GFH131163 FVH131163:FVL131163 FLL131163:FLP131163 FBP131163:FBT131163 ERT131163:ERX131163 EHX131163:EIB131163 DYB131163:DYF131163 DOF131163:DOJ131163 DEJ131163:DEN131163 CUN131163:CUR131163 CKR131163:CKV131163 CAV131163:CAZ131163 BQZ131163:BRD131163 BHD131163:BHH131163 AXH131163:AXL131163 ANL131163:ANP131163 ADP131163:ADT131163 TT131163:TX131163 JX131163:KB131163 AG131163:AK131163 WWJ65627:WWN65627 WMN65627:WMR65627 WCR65627:WCV65627 VSV65627:VSZ65627 VIZ65627:VJD65627 UZD65627:UZH65627 UPH65627:UPL65627 UFL65627:UFP65627 TVP65627:TVT65627 TLT65627:TLX65627 TBX65627:TCB65627 SSB65627:SSF65627 SIF65627:SIJ65627 RYJ65627:RYN65627 RON65627:ROR65627 RER65627:REV65627 QUV65627:QUZ65627 QKZ65627:QLD65627 QBD65627:QBH65627 PRH65627:PRL65627 PHL65627:PHP65627 OXP65627:OXT65627 ONT65627:ONX65627 ODX65627:OEB65627 NUB65627:NUF65627 NKF65627:NKJ65627 NAJ65627:NAN65627 MQN65627:MQR65627 MGR65627:MGV65627 LWV65627:LWZ65627 LMZ65627:LND65627 LDD65627:LDH65627 KTH65627:KTL65627 KJL65627:KJP65627 JZP65627:JZT65627 JPT65627:JPX65627 JFX65627:JGB65627 IWB65627:IWF65627 IMF65627:IMJ65627 ICJ65627:ICN65627 HSN65627:HSR65627 HIR65627:HIV65627 GYV65627:GYZ65627 GOZ65627:GPD65627 GFD65627:GFH65627 FVH65627:FVL65627 FLL65627:FLP65627 FBP65627:FBT65627 ERT65627:ERX65627 EHX65627:EIB65627 DYB65627:DYF65627 DOF65627:DOJ65627 DEJ65627:DEN65627 CUN65627:CUR65627 CKR65627:CKV65627 CAV65627:CAZ65627 BQZ65627:BRD65627 BHD65627:BHH65627 AXH65627:AXL65627 ANL65627:ANP65627 ADP65627:ADT65627 TT65627:TX65627 JX65627:KB65627 AG65627:AK65627 WWJ84:WWN84 WMN84:WMR84 WCR84:WCV84 VSV84:VSZ84 VIZ84:VJD84 UZD84:UZH84 UPH84:UPL84 UFL84:UFP84 TVP84:TVT84 TLT84:TLX84 TBX84:TCB84 SSB84:SSF84 SIF84:SIJ84 RYJ84:RYN84 RON84:ROR84 RER84:REV84 QUV84:QUZ84 QKZ84:QLD84 QBD84:QBH84 PRH84:PRL84 PHL84:PHP84 OXP84:OXT84 ONT84:ONX84 ODX84:OEB84 NUB84:NUF84 NKF84:NKJ84 NAJ84:NAN84 MQN84:MQR84 MGR84:MGV84 LWV84:LWZ84 LMZ84:LND84 LDD84:LDH84 KTH84:KTL84 KJL84:KJP84 JZP84:JZT84 JPT84:JPX84 JFX84:JGB84 IWB84:IWF84 IMF84:IMJ84 ICJ84:ICN84 HSN84:HSR84 HIR84:HIV84 GYV84:GYZ84 GOZ84:GPD84 GFD84:GFH84 FVH84:FVL84 FLL84:FLP84 FBP84:FBT84 ERT84:ERX84 EHX84:EIB84 DYB84:DYF84 DOF84:DOJ84 DEJ84:DEN84 CUN84:CUR84 CKR84:CKV84 CAV84:CAZ84 BQZ84:BRD84 BHD84:BHH84 AXH84:AXL84 ANL84:ANP84 ADP84:ADT84 TT84:TX84" xr:uid="{D15B9B93-F4B8-41F6-BB77-A3BB4C8FE1E7}">
      <formula1>112233445566</formula1>
    </dataValidation>
    <dataValidation operator="equal" allowBlank="1" showInputMessage="1" errorTitle="Anexos con Excel" error="Este campo esta bloqueado por el SRI" sqref="AG69:AK69" xr:uid="{AD12746B-F817-455D-AD2C-7E28F483799F}"/>
    <dataValidation type="list" allowBlank="1" showInputMessage="1" showErrorMessage="1" sqref="T4:U4" xr:uid="{1758FF15-4A27-4148-92DE-85CEE8F0C298}">
      <formula1>"1,2,3,4,5,6,7,8,9,10,11,12,I-Semestre,II-Semestre"</formula1>
    </dataValidation>
  </dataValidations>
  <printOptions horizontalCentered="1"/>
  <pageMargins left="0.39370078740157483" right="0" top="0.39370078740157483" bottom="0" header="0" footer="0"/>
  <pageSetup paperSize="9" scale="48" fitToHeight="2" orientation="portrait" r:id="rId1"/>
  <headerFooter alignWithMargins="0"/>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17</vt:i4>
      </vt:variant>
      <vt:variant>
        <vt:lpstr>Rangos con nombre</vt:lpstr>
      </vt:variant>
      <vt:variant>
        <vt:i4>37</vt:i4>
      </vt:variant>
    </vt:vector>
  </HeadingPairs>
  <TitlesOfParts>
    <vt:vector size="54" baseType="lpstr">
      <vt:lpstr>Diario</vt:lpstr>
      <vt:lpstr>Tesoreria</vt:lpstr>
      <vt:lpstr>Detalles</vt:lpstr>
      <vt:lpstr>Articulos</vt:lpstr>
      <vt:lpstr>Contribuyentes</vt:lpstr>
      <vt:lpstr>Parametros</vt:lpstr>
      <vt:lpstr>LIQ_IMPUESTOS</vt:lpstr>
      <vt:lpstr>103</vt:lpstr>
      <vt:lpstr>104</vt:lpstr>
      <vt:lpstr>COMPRAS</vt:lpstr>
      <vt:lpstr>VENTAS</vt:lpstr>
      <vt:lpstr>REEMBOLSOS</vt:lpstr>
      <vt:lpstr>EXPORTACIONES</vt:lpstr>
      <vt:lpstr>ANULADOS</vt:lpstr>
      <vt:lpstr>GUIAS</vt:lpstr>
      <vt:lpstr>TALON</vt:lpstr>
      <vt:lpstr>GASTOSP</vt:lpstr>
      <vt:lpstr>'103'!Área_de_impresión</vt:lpstr>
      <vt:lpstr>'104'!Área_de_impresión</vt:lpstr>
      <vt:lpstr>asiCOM</vt:lpstr>
      <vt:lpstr>cfgEmpresa</vt:lpstr>
      <vt:lpstr>ComprobantesCOM</vt:lpstr>
      <vt:lpstr>ComprobantesEXP</vt:lpstr>
      <vt:lpstr>ComprobantesVEN</vt:lpstr>
      <vt:lpstr>Distritos</vt:lpstr>
      <vt:lpstr>gruContableGAS</vt:lpstr>
      <vt:lpstr>gruContableING</vt:lpstr>
      <vt:lpstr>ingExterior</vt:lpstr>
      <vt:lpstr>IVAs</vt:lpstr>
      <vt:lpstr>LIQ_PER</vt:lpstr>
      <vt:lpstr>ListaActividades</vt:lpstr>
      <vt:lpstr>meses_103</vt:lpstr>
      <vt:lpstr>meses_104</vt:lpstr>
      <vt:lpstr>NumDocs</vt:lpstr>
      <vt:lpstr>pagos</vt:lpstr>
      <vt:lpstr>paises</vt:lpstr>
      <vt:lpstr>paises17a</vt:lpstr>
      <vt:lpstr>paises17b</vt:lpstr>
      <vt:lpstr>paisesEXP</vt:lpstr>
      <vt:lpstr>Regimen</vt:lpstr>
      <vt:lpstr>Regimenes</vt:lpstr>
      <vt:lpstr>Retenciones</vt:lpstr>
      <vt:lpstr>sustentos</vt:lpstr>
      <vt:lpstr>tarifasIVA</vt:lpstr>
      <vt:lpstr>tbIBPs</vt:lpstr>
      <vt:lpstr>tbIBPs2</vt:lpstr>
      <vt:lpstr>tbICEs</vt:lpstr>
      <vt:lpstr>tbICEs2</vt:lpstr>
      <vt:lpstr>tbl_Empre</vt:lpstr>
      <vt:lpstr>tbl_NegPop</vt:lpstr>
      <vt:lpstr>TipoPagos</vt:lpstr>
      <vt:lpstr>tiposexp</vt:lpstr>
      <vt:lpstr>XLSperiodo</vt:lpstr>
      <vt:lpstr>XLSversion</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LOURDES</dc:creator>
  <cp:lastModifiedBy>Javier Veliz</cp:lastModifiedBy>
  <cp:lastPrinted>2022-09-01T05:36:21Z</cp:lastPrinted>
  <dcterms:created xsi:type="dcterms:W3CDTF">2017-05-19T19:55:43Z</dcterms:created>
  <dcterms:modified xsi:type="dcterms:W3CDTF">2026-01-06T03:22:17Z</dcterms:modified>
</cp:coreProperties>
</file>