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xl/webextensions/taskpanes.xml" ContentType="application/vnd.ms-office.webextensiontaskpanes+xml"/>
  <Override PartName="/xl/webextensions/webextension1.xml" ContentType="application/vnd.ms-office.webextension+xml"/>
  <Override PartName="/xl/webextensions/webextension2.xml" ContentType="application/vnd.ms-office.webextensio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11/relationships/webextensiontaskpanes" Target="xl/webextensions/taskpanes.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codeName="ThisWorkbook" defaultThemeVersion="124226"/>
  <mc:AlternateContent xmlns:mc="http://schemas.openxmlformats.org/markup-compatibility/2006">
    <mc:Choice Requires="x15">
      <x15ac:absPath xmlns:x15ac="http://schemas.microsoft.com/office/spreadsheetml/2010/11/ac" url="C:\RESPALDOS_PC\ESCRITORIO\Escritorio\OTROS\Plantillas SriAnexos2020\ATS_2025\"/>
    </mc:Choice>
  </mc:AlternateContent>
  <xr:revisionPtr revIDLastSave="0" documentId="13_ncr:1_{320DED53-2962-499E-8C6D-3F00A4692375}" xr6:coauthVersionLast="47" xr6:coauthVersionMax="47" xr10:uidLastSave="{00000000-0000-0000-0000-000000000000}"/>
  <bookViews>
    <workbookView xWindow="-110" yWindow="-110" windowWidth="19420" windowHeight="10420" tabRatio="601" firstSheet="5" activeTab="5" xr2:uid="{00000000-000D-0000-FFFF-FFFF00000000}"/>
  </bookViews>
  <sheets>
    <sheet name="Diario" sheetId="28" state="hidden" r:id="rId1"/>
    <sheet name="Tesoreria" sheetId="27" state="hidden" r:id="rId2"/>
    <sheet name="Detalles" sheetId="24" state="hidden" r:id="rId3"/>
    <sheet name="Articulos" sheetId="22" state="hidden" r:id="rId4"/>
    <sheet name="Contribuyentes" sheetId="23" state="hidden" r:id="rId5"/>
    <sheet name="Parametros" sheetId="1" r:id="rId6"/>
    <sheet name="LIQ_IMPUESTOS" sheetId="16" r:id="rId7"/>
    <sheet name="103" sheetId="5" r:id="rId8"/>
    <sheet name="104" sheetId="4" r:id="rId9"/>
    <sheet name="COMPRAS" sheetId="2" r:id="rId10"/>
    <sheet name="VENTAS" sheetId="6" r:id="rId11"/>
    <sheet name="REEMBOLSOS" sheetId="3" r:id="rId12"/>
    <sheet name="EXPORTACIONES" sheetId="7" r:id="rId13"/>
    <sheet name="ANULADOS" sheetId="8" r:id="rId14"/>
    <sheet name="GUIAS" sheetId="29" r:id="rId15"/>
    <sheet name="TALON" sheetId="21" r:id="rId16"/>
    <sheet name="GASTOSP" sheetId="30" r:id="rId17"/>
  </sheets>
  <definedNames>
    <definedName name="_xlnm._FilterDatabase" localSheetId="13" hidden="1">ANULADOS!$A$6:$J$6</definedName>
    <definedName name="_xlnm._FilterDatabase" localSheetId="3" hidden="1">Articulos!$A$6:$N$17</definedName>
    <definedName name="_xlnm._FilterDatabase" localSheetId="9" hidden="1">COMPRAS!$A$6:$EL$6</definedName>
    <definedName name="_xlnm._FilterDatabase" localSheetId="4" hidden="1">Contribuyentes!$A$6:$M$19</definedName>
    <definedName name="_xlnm._FilterDatabase" localSheetId="2" hidden="1">Detalles!$A$6:$AI$6</definedName>
    <definedName name="_xlnm._FilterDatabase" localSheetId="0" hidden="1">Diario!$A$6:$M$6</definedName>
    <definedName name="_xlnm._FilterDatabase" localSheetId="12" hidden="1">EXPORTACIONES!$A$6:$AR$6</definedName>
    <definedName name="_xlnm._FilterDatabase" localSheetId="16" hidden="1">GASTOSP!$A$6:$V$6</definedName>
    <definedName name="_xlnm._FilterDatabase" localSheetId="14" hidden="1">GUIAS!$A$6:$AC$6</definedName>
    <definedName name="_xlnm._FilterDatabase" localSheetId="11" hidden="1">REEMBOLSOS!$A$6:$AE$6</definedName>
    <definedName name="_xlnm._FilterDatabase" localSheetId="1" hidden="1">Tesoreria!$A$6:$Q$6</definedName>
    <definedName name="_xlnm._FilterDatabase" localSheetId="10" hidden="1">VENTAS!$A$6:$CV$6</definedName>
    <definedName name="_xlnm.Print_Area" localSheetId="7">'103'!$A:$AJ</definedName>
    <definedName name="_xlnm.Print_Area" localSheetId="8">'104'!$A:$AL</definedName>
    <definedName name="asiCOM">Parametros!$C$1145:$J$1171</definedName>
    <definedName name="cfgEmpresa">Parametros!$B$2:$L$121</definedName>
    <definedName name="ComprobantesCOM">Parametros!$C$190:$C$218</definedName>
    <definedName name="ComprobantesEXP">Parametros!$C$155:$C$162</definedName>
    <definedName name="ComprobantesVEN">Parametros!$C$166:$C$186</definedName>
    <definedName name="Distritos">Parametros!$C$1048:$C$1062</definedName>
    <definedName name="gruContableGAS">Parametros!$C$1145:$C$1171</definedName>
    <definedName name="gruContableING">Parametros!$C$1137:$C$1141</definedName>
    <definedName name="ingExterior">Parametros!$C$1066:$C$1105</definedName>
    <definedName name="IVAs">Parametros!$C$125:$C$134</definedName>
    <definedName name="LIQ_PER">LIQ_IMPUESTOS!$C$5:$C$16</definedName>
    <definedName name="ListaActividades">Parametros!$C$138:$C$150</definedName>
    <definedName name="meses_103">'103'!$C$5:$N$5</definedName>
    <definedName name="meses_104">'104'!$C$4:$N$4</definedName>
    <definedName name="NumDocs">Parametros!$C$52:$J$62</definedName>
    <definedName name="pagos">Parametros!$C$243:$C$264</definedName>
    <definedName name="paises">Parametros!$C$410:$C$669</definedName>
    <definedName name="paises17a">Parametros!$C$673:$C$762</definedName>
    <definedName name="paises17b">Parametros!$G$673:$G$762</definedName>
    <definedName name="paisesEXP">Parametros!$C$766:$C$1024</definedName>
    <definedName name="Regimen">Parametros!$D$39</definedName>
    <definedName name="Regimenes">Parametros!$C$1028:$C$1037</definedName>
    <definedName name="Retenciones">Parametros!$C$268:$C$406</definedName>
    <definedName name="sustentos">Parametros!$C$222:$C$239</definedName>
    <definedName name="tarifasIVA">Parametros!$E$128:$E$133</definedName>
    <definedName name="tbIBPs">Parametros!$C$1124:$J$1125</definedName>
    <definedName name="tbIBPs2">Parametros!$D$1124:$D$1125</definedName>
    <definedName name="tbICEs">Parametros!$C$1109:$J$1120</definedName>
    <definedName name="tbICEs2">Parametros!$D$1109:$D$1120</definedName>
    <definedName name="tbl_Empre">Parametros!$N$5:$Q$10</definedName>
    <definedName name="tbl_NegPop">Parametros!$S$5:$U$9</definedName>
    <definedName name="TipoPagos">Parametros!$C$243:$J$264</definedName>
    <definedName name="tiposexp">Parametros!$C$1041:$C$1044</definedName>
    <definedName name="XLSperiodo">Parametros!$D$20</definedName>
    <definedName name="XLSversion">Parametros!$D$100</definedName>
  </definedNames>
  <calcPr calcId="181029"/>
</workbook>
</file>

<file path=xl/calcChain.xml><?xml version="1.0" encoding="utf-8"?>
<calcChain xmlns="http://schemas.openxmlformats.org/spreadsheetml/2006/main">
  <c r="B85" i="21" l="1"/>
  <c r="B174" i="21"/>
  <c r="B173" i="21"/>
  <c r="B172" i="21"/>
  <c r="B175" i="21"/>
  <c r="B176" i="21"/>
  <c r="B177" i="21"/>
  <c r="AE18" i="5"/>
  <c r="X18" i="5"/>
  <c r="BY9" i="2"/>
  <c r="BY8" i="2"/>
  <c r="BY7" i="2"/>
  <c r="BP9" i="2"/>
  <c r="BP8" i="2"/>
  <c r="BP7" i="2"/>
  <c r="BG9" i="2"/>
  <c r="BG8" i="2"/>
  <c r="BG7" i="2"/>
  <c r="W59" i="16"/>
  <c r="W58" i="16"/>
  <c r="W57" i="16"/>
  <c r="W56" i="16"/>
  <c r="W55" i="16"/>
  <c r="W54" i="16"/>
  <c r="V59" i="16"/>
  <c r="V58" i="16"/>
  <c r="V57" i="16"/>
  <c r="V56" i="16"/>
  <c r="V55" i="16"/>
  <c r="V54" i="16"/>
  <c r="I8" i="8"/>
  <c r="I7" i="8"/>
  <c r="AO9" i="7"/>
  <c r="AN9" i="7"/>
  <c r="AL9" i="7"/>
  <c r="AJ9" i="7"/>
  <c r="AH9" i="7"/>
  <c r="U9" i="7"/>
  <c r="AL8" i="7"/>
  <c r="AJ8" i="7"/>
  <c r="AO8" i="7" s="1"/>
  <c r="AH8" i="7"/>
  <c r="AN8" i="7" s="1"/>
  <c r="U8" i="7"/>
  <c r="AL7" i="7"/>
  <c r="AJ7" i="7"/>
  <c r="AO7" i="7" s="1"/>
  <c r="AH7" i="7"/>
  <c r="AN7" i="7" s="1"/>
  <c r="U7" i="7"/>
  <c r="U9" i="30"/>
  <c r="M9" i="30"/>
  <c r="U8" i="30"/>
  <c r="M8" i="30"/>
  <c r="Y9" i="3"/>
  <c r="V9" i="3"/>
  <c r="T9" i="3"/>
  <c r="V8" i="3"/>
  <c r="T8" i="3"/>
  <c r="Y8" i="3" s="1"/>
  <c r="V7" i="3"/>
  <c r="T7" i="3"/>
  <c r="Y7" i="3" l="1"/>
  <c r="CA9" i="6" l="1"/>
  <c r="BL9" i="6"/>
  <c r="BK9" i="6"/>
  <c r="BJ9" i="6"/>
  <c r="BI9" i="6"/>
  <c r="BH9" i="6"/>
  <c r="BG9" i="6"/>
  <c r="BE9" i="6"/>
  <c r="AO9" i="6"/>
  <c r="AM9" i="6"/>
  <c r="AK9" i="6"/>
  <c r="AB9" i="6"/>
  <c r="X9" i="6"/>
  <c r="U9" i="6"/>
  <c r="R9" i="6"/>
  <c r="BK8" i="6"/>
  <c r="BJ8" i="6"/>
  <c r="BE8" i="6"/>
  <c r="AO8" i="6"/>
  <c r="BI8" i="6" s="1"/>
  <c r="AM8" i="6"/>
  <c r="CA8" i="6" s="1"/>
  <c r="AK8" i="6"/>
  <c r="BG8" i="6" s="1"/>
  <c r="X8" i="6"/>
  <c r="U8" i="6"/>
  <c r="R8" i="6"/>
  <c r="AB8" i="6" s="1"/>
  <c r="BK7" i="6"/>
  <c r="BJ7" i="6"/>
  <c r="BE7" i="6"/>
  <c r="AO7" i="6"/>
  <c r="BI7" i="6" s="1"/>
  <c r="AM7" i="6"/>
  <c r="CA7" i="6" s="1"/>
  <c r="AK7" i="6"/>
  <c r="BG7" i="6" s="1"/>
  <c r="X7" i="6"/>
  <c r="U7" i="6"/>
  <c r="R7" i="6"/>
  <c r="DM9" i="2"/>
  <c r="DL9" i="2"/>
  <c r="DJ9" i="2"/>
  <c r="DI9" i="2"/>
  <c r="DH9" i="2"/>
  <c r="DB9" i="2"/>
  <c r="BZ9" i="2"/>
  <c r="BQ9" i="2"/>
  <c r="BH9" i="2"/>
  <c r="AX9" i="2"/>
  <c r="DG9" i="2" s="1"/>
  <c r="AV9" i="2"/>
  <c r="DF9" i="2" s="1"/>
  <c r="AT9" i="2"/>
  <c r="DE9" i="2" s="1"/>
  <c r="AF9" i="2"/>
  <c r="DK9" i="2" s="1"/>
  <c r="AC9" i="2"/>
  <c r="Z9" i="2"/>
  <c r="AK9" i="2" s="1"/>
  <c r="DM8" i="2"/>
  <c r="DL8" i="2"/>
  <c r="DJ8" i="2"/>
  <c r="DI8" i="2"/>
  <c r="DH8" i="2"/>
  <c r="DB8" i="2"/>
  <c r="BZ8" i="2"/>
  <c r="BQ8" i="2"/>
  <c r="BH8" i="2"/>
  <c r="BI8" i="2" s="1"/>
  <c r="AX8" i="2"/>
  <c r="DG8" i="2" s="1"/>
  <c r="AV8" i="2"/>
  <c r="DF8" i="2" s="1"/>
  <c r="AT8" i="2"/>
  <c r="DE8" i="2" s="1"/>
  <c r="AF8" i="2"/>
  <c r="AC8" i="2"/>
  <c r="Z8" i="2"/>
  <c r="AK8" i="2" s="1"/>
  <c r="DM7" i="2"/>
  <c r="DL7" i="2"/>
  <c r="DJ7" i="2"/>
  <c r="DI7" i="2"/>
  <c r="DH7" i="2"/>
  <c r="DG7" i="2"/>
  <c r="DB7" i="2"/>
  <c r="AX7" i="2"/>
  <c r="AV7" i="2"/>
  <c r="DF7" i="2" s="1"/>
  <c r="AT7" i="2"/>
  <c r="DE7" i="2" s="1"/>
  <c r="AF7" i="2"/>
  <c r="AC7" i="2"/>
  <c r="Z7" i="2"/>
  <c r="AK7" i="2" s="1"/>
  <c r="BZ7" i="2"/>
  <c r="BQ7" i="2"/>
  <c r="BH7" i="2"/>
  <c r="U7" i="30"/>
  <c r="M7" i="30"/>
  <c r="M5" i="30" s="1"/>
  <c r="L5" i="30"/>
  <c r="K5" i="30"/>
  <c r="J5" i="30"/>
  <c r="I5" i="30"/>
  <c r="BR8" i="2" l="1"/>
  <c r="AB7" i="6"/>
  <c r="BH8" i="6"/>
  <c r="BL8" i="6"/>
  <c r="BH7" i="6"/>
  <c r="BL7" i="6"/>
  <c r="CA9" i="2"/>
  <c r="BR9" i="2"/>
  <c r="CA8" i="2"/>
  <c r="DN8" i="2" s="1"/>
  <c r="BI7" i="2"/>
  <c r="BR7" i="2"/>
  <c r="DK7" i="2"/>
  <c r="CA7" i="2"/>
  <c r="DK8" i="2"/>
  <c r="BI9" i="2"/>
  <c r="Z5" i="3"/>
  <c r="DN7" i="2" l="1"/>
  <c r="CK8" i="2"/>
  <c r="CK7" i="2"/>
  <c r="DN9" i="2"/>
  <c r="CK9" i="2"/>
  <c r="S5" i="6"/>
  <c r="U5" i="6"/>
  <c r="X5" i="2"/>
  <c r="T5" i="30"/>
  <c r="S5" i="30"/>
  <c r="R5" i="30"/>
  <c r="Q5" i="30"/>
  <c r="P5" i="30"/>
  <c r="O5" i="30"/>
  <c r="V60" i="16" s="1"/>
  <c r="A1" i="30"/>
  <c r="S9" i="1"/>
  <c r="S7" i="1"/>
  <c r="S6" i="1"/>
  <c r="B4" i="29"/>
  <c r="A1" i="29"/>
  <c r="W5" i="2"/>
  <c r="V5" i="2"/>
  <c r="U5" i="2"/>
  <c r="P5" i="6"/>
  <c r="O5" i="6"/>
  <c r="N5" i="6"/>
  <c r="M5" i="6"/>
  <c r="AF5" i="7"/>
  <c r="AE5" i="7"/>
  <c r="X5" i="3"/>
  <c r="W5" i="3"/>
  <c r="R5" i="3"/>
  <c r="Q5" i="3"/>
  <c r="P5" i="3"/>
  <c r="C11" i="16"/>
  <c r="C5" i="16"/>
  <c r="U5" i="30" l="1"/>
  <c r="Z5" i="2"/>
  <c r="AA5" i="2"/>
  <c r="T5" i="3"/>
  <c r="R5" i="6"/>
  <c r="S8" i="1"/>
  <c r="V5" i="3"/>
  <c r="X5" i="6" l="1"/>
  <c r="V5" i="6"/>
  <c r="AC5" i="2"/>
  <c r="Y5" i="3"/>
  <c r="A22" i="16"/>
  <c r="A37" i="16"/>
  <c r="N10" i="1"/>
  <c r="O7" i="1"/>
  <c r="O8" i="1" s="1"/>
  <c r="N9" i="1" s="1"/>
  <c r="N7" i="1"/>
  <c r="N6" i="1"/>
  <c r="L44" i="16" l="1"/>
  <c r="L43" i="16"/>
  <c r="L41" i="16"/>
  <c r="L39" i="16"/>
  <c r="L30" i="16"/>
  <c r="L29" i="16"/>
  <c r="L26" i="16"/>
  <c r="L25" i="16"/>
  <c r="L24" i="16"/>
  <c r="K44" i="16"/>
  <c r="K39" i="16"/>
  <c r="K30" i="16"/>
  <c r="K29" i="16"/>
  <c r="K41" i="16"/>
  <c r="K26" i="16"/>
  <c r="K25" i="16"/>
  <c r="K24" i="16"/>
  <c r="L40" i="16"/>
  <c r="L28" i="16"/>
  <c r="L45" i="16"/>
  <c r="K40" i="16"/>
  <c r="K28" i="16"/>
  <c r="K45" i="16"/>
  <c r="K43" i="16"/>
  <c r="Z5" i="6"/>
  <c r="AD5" i="2"/>
  <c r="A53" i="16"/>
  <c r="L53" i="16" s="1"/>
  <c r="N8" i="1"/>
  <c r="K42" i="16" l="1"/>
  <c r="L42" i="16"/>
  <c r="L27" i="16"/>
  <c r="K27" i="16"/>
  <c r="AA5" i="6"/>
  <c r="AF5" i="2"/>
  <c r="AB5" i="6" l="1"/>
  <c r="AG5" i="2"/>
  <c r="AC5" i="6" l="1"/>
  <c r="AH5" i="2"/>
  <c r="AJ5" i="7"/>
  <c r="AH5" i="7"/>
  <c r="O5" i="3"/>
  <c r="L48" i="16" l="1"/>
  <c r="K48" i="16"/>
  <c r="L34" i="16"/>
  <c r="L35" i="16" s="1"/>
  <c r="M26" i="16"/>
  <c r="K34" i="16"/>
  <c r="K35" i="16" s="1"/>
  <c r="M30" i="16"/>
  <c r="M24" i="16"/>
  <c r="AI5" i="2"/>
  <c r="M25" i="16" l="1"/>
  <c r="M23" i="16" s="1"/>
  <c r="M29" i="16"/>
  <c r="M28" i="16"/>
  <c r="M48" i="16"/>
  <c r="AJ5" i="2"/>
  <c r="M27" i="16" l="1"/>
  <c r="AK5" i="6"/>
  <c r="AK5" i="2"/>
  <c r="AL5" i="2" l="1"/>
  <c r="K70" i="16"/>
  <c r="K64" i="16"/>
  <c r="L74" i="16"/>
  <c r="AM5" i="6" l="1"/>
  <c r="K74" i="16"/>
  <c r="AT5" i="2" l="1"/>
  <c r="K23" i="16"/>
  <c r="M34" i="16"/>
  <c r="M53" i="16" s="1"/>
  <c r="A54" i="16"/>
  <c r="L54" i="16" s="1"/>
  <c r="AV5" i="2" l="1"/>
  <c r="L23" i="16"/>
  <c r="K31" i="16"/>
  <c r="M54" i="16"/>
  <c r="X59" i="16"/>
  <c r="L38" i="16"/>
  <c r="K38" i="16"/>
  <c r="AR5" i="6" l="1"/>
  <c r="AX5" i="2"/>
  <c r="K46" i="16"/>
  <c r="K47" i="16" s="1"/>
  <c r="K49" i="16" s="1"/>
  <c r="L46" i="16"/>
  <c r="L47" i="16" s="1"/>
  <c r="L49" i="16" s="1"/>
  <c r="L31" i="16"/>
  <c r="AS5" i="6" l="1"/>
  <c r="M31" i="16"/>
  <c r="M33" i="16" s="1"/>
  <c r="M46" i="16"/>
  <c r="K54" i="16" s="1"/>
  <c r="M47" i="16"/>
  <c r="M49" i="16" s="1"/>
  <c r="X56" i="16"/>
  <c r="X55" i="16"/>
  <c r="X57" i="16"/>
  <c r="X54" i="16"/>
  <c r="AT5" i="6" l="1"/>
  <c r="BG5" i="2"/>
  <c r="M32" i="16"/>
  <c r="M35" i="16" s="1"/>
  <c r="K53" i="16"/>
  <c r="C5" i="4"/>
  <c r="C6" i="5"/>
  <c r="CE5" i="6" l="1"/>
  <c r="BI5" i="2"/>
  <c r="B304" i="21"/>
  <c r="B287" i="21"/>
  <c r="B282" i="21"/>
  <c r="B250" i="21"/>
  <c r="B244" i="21"/>
  <c r="B237" i="21"/>
  <c r="B231" i="21"/>
  <c r="B220" i="21"/>
  <c r="B74" i="21"/>
  <c r="B63" i="21"/>
  <c r="B59" i="21"/>
  <c r="B43" i="21"/>
  <c r="K304" i="21"/>
  <c r="J304" i="21"/>
  <c r="J287" i="21"/>
  <c r="I287" i="21"/>
  <c r="K282" i="21"/>
  <c r="J282" i="21"/>
  <c r="J250" i="21"/>
  <c r="K244" i="21"/>
  <c r="J244" i="21"/>
  <c r="J237" i="21"/>
  <c r="J231" i="21"/>
  <c r="K220" i="21"/>
  <c r="J220" i="21"/>
  <c r="J74" i="21"/>
  <c r="K63" i="21"/>
  <c r="J63" i="21"/>
  <c r="I63" i="21"/>
  <c r="H63" i="21"/>
  <c r="G63" i="21"/>
  <c r="K59" i="21"/>
  <c r="J59" i="21"/>
  <c r="I59" i="21"/>
  <c r="H59" i="21"/>
  <c r="G59" i="21"/>
  <c r="K43" i="21"/>
  <c r="J43" i="21"/>
  <c r="I43" i="21"/>
  <c r="H43" i="21"/>
  <c r="G43" i="21"/>
  <c r="B303" i="21"/>
  <c r="B302" i="21"/>
  <c r="B301" i="21"/>
  <c r="B300" i="21"/>
  <c r="B299" i="21"/>
  <c r="B298" i="21"/>
  <c r="B297" i="21"/>
  <c r="B296" i="21"/>
  <c r="B295" i="21"/>
  <c r="B294" i="21"/>
  <c r="B293" i="21"/>
  <c r="B292" i="21"/>
  <c r="B291" i="21"/>
  <c r="B290" i="21"/>
  <c r="B289" i="21"/>
  <c r="B288" i="21"/>
  <c r="B286" i="21"/>
  <c r="B285" i="21"/>
  <c r="B284" i="21"/>
  <c r="B283" i="21"/>
  <c r="B281" i="21"/>
  <c r="B280" i="21"/>
  <c r="B279" i="21"/>
  <c r="B278" i="21"/>
  <c r="B277" i="21"/>
  <c r="B276" i="21"/>
  <c r="B275" i="21"/>
  <c r="B274" i="21"/>
  <c r="B273" i="21"/>
  <c r="B272" i="21"/>
  <c r="B271" i="21"/>
  <c r="B270" i="21"/>
  <c r="B269" i="21"/>
  <c r="B268" i="21"/>
  <c r="B267" i="21"/>
  <c r="B266" i="21"/>
  <c r="B265" i="21"/>
  <c r="B264" i="21"/>
  <c r="B263" i="21"/>
  <c r="B262" i="21"/>
  <c r="B261" i="21"/>
  <c r="B260" i="21"/>
  <c r="B259" i="21"/>
  <c r="B258" i="21"/>
  <c r="B257" i="21"/>
  <c r="B256" i="21"/>
  <c r="B255" i="21"/>
  <c r="B254" i="21"/>
  <c r="B253" i="21"/>
  <c r="B251" i="21"/>
  <c r="B249" i="21"/>
  <c r="B248" i="21"/>
  <c r="B247" i="21"/>
  <c r="B246" i="21"/>
  <c r="B245" i="21"/>
  <c r="B243" i="21"/>
  <c r="B242" i="21"/>
  <c r="B241" i="21"/>
  <c r="B240" i="21"/>
  <c r="B239" i="21"/>
  <c r="B238" i="21"/>
  <c r="B234" i="21"/>
  <c r="B233" i="21"/>
  <c r="B236" i="21"/>
  <c r="B235" i="21"/>
  <c r="B230" i="21"/>
  <c r="B229" i="21"/>
  <c r="B228" i="21"/>
  <c r="B227" i="21"/>
  <c r="B226" i="21"/>
  <c r="B225" i="21"/>
  <c r="B224" i="21"/>
  <c r="B232" i="21"/>
  <c r="B223" i="21"/>
  <c r="B222" i="21"/>
  <c r="B221" i="21"/>
  <c r="B219" i="21"/>
  <c r="B218" i="21"/>
  <c r="B217" i="21"/>
  <c r="B216" i="21"/>
  <c r="B215" i="21"/>
  <c r="B214" i="21"/>
  <c r="B213" i="21"/>
  <c r="B212" i="21"/>
  <c r="B211" i="21"/>
  <c r="B210" i="21"/>
  <c r="B209" i="21"/>
  <c r="B208" i="21"/>
  <c r="B207" i="21"/>
  <c r="B206" i="21"/>
  <c r="B205" i="21"/>
  <c r="B204" i="21"/>
  <c r="B203" i="21"/>
  <c r="B202" i="21"/>
  <c r="B201" i="21"/>
  <c r="B200" i="21"/>
  <c r="B199" i="21"/>
  <c r="B198" i="21"/>
  <c r="B197" i="21"/>
  <c r="B196" i="21"/>
  <c r="B195" i="21"/>
  <c r="B194" i="21"/>
  <c r="B193" i="21"/>
  <c r="B192" i="21"/>
  <c r="B191" i="21"/>
  <c r="B190" i="21"/>
  <c r="B189" i="21"/>
  <c r="B188" i="21"/>
  <c r="B187" i="21"/>
  <c r="B186" i="21"/>
  <c r="B185" i="21"/>
  <c r="B184" i="21"/>
  <c r="B183" i="21"/>
  <c r="B182" i="21"/>
  <c r="B181" i="21"/>
  <c r="B180" i="21"/>
  <c r="B179" i="21"/>
  <c r="B178" i="21"/>
  <c r="B171" i="21"/>
  <c r="B170" i="21"/>
  <c r="B169" i="21"/>
  <c r="B168" i="21"/>
  <c r="B167" i="21"/>
  <c r="B166" i="21"/>
  <c r="B165" i="21"/>
  <c r="B164" i="21"/>
  <c r="B163" i="21"/>
  <c r="B162" i="21"/>
  <c r="B161" i="21"/>
  <c r="B160" i="21"/>
  <c r="B159" i="21"/>
  <c r="B158" i="21"/>
  <c r="B157" i="21"/>
  <c r="B156" i="21"/>
  <c r="B155" i="21"/>
  <c r="B154" i="21"/>
  <c r="B153" i="21"/>
  <c r="B152" i="21"/>
  <c r="B151" i="21"/>
  <c r="B150" i="21"/>
  <c r="B149" i="21"/>
  <c r="B148" i="21"/>
  <c r="B147" i="21"/>
  <c r="B146" i="21"/>
  <c r="B145" i="21"/>
  <c r="B144" i="21"/>
  <c r="B143" i="21"/>
  <c r="B142" i="21"/>
  <c r="B141" i="21"/>
  <c r="B140" i="21"/>
  <c r="B139" i="21"/>
  <c r="B138" i="21"/>
  <c r="B137" i="21"/>
  <c r="B136" i="21"/>
  <c r="B135" i="21"/>
  <c r="B134" i="21"/>
  <c r="B133" i="21"/>
  <c r="B132" i="21"/>
  <c r="B131" i="21"/>
  <c r="B130" i="21"/>
  <c r="B129" i="21"/>
  <c r="B128" i="21"/>
  <c r="B127" i="21"/>
  <c r="B126" i="21"/>
  <c r="B125" i="21"/>
  <c r="B124" i="21"/>
  <c r="B123" i="21"/>
  <c r="B122" i="21"/>
  <c r="B121" i="21"/>
  <c r="B120" i="21"/>
  <c r="B119" i="21"/>
  <c r="B118" i="21"/>
  <c r="B117" i="21"/>
  <c r="B116" i="21"/>
  <c r="B115" i="21"/>
  <c r="B114" i="21"/>
  <c r="B113" i="21"/>
  <c r="B112" i="21"/>
  <c r="B111" i="21"/>
  <c r="B110" i="21"/>
  <c r="B109" i="21"/>
  <c r="B108" i="21"/>
  <c r="B107" i="21"/>
  <c r="B106" i="21"/>
  <c r="B105" i="21"/>
  <c r="B104" i="21"/>
  <c r="B103" i="21"/>
  <c r="B102" i="21"/>
  <c r="B101" i="21"/>
  <c r="B100" i="21"/>
  <c r="B99" i="21"/>
  <c r="B98" i="21"/>
  <c r="B97" i="21"/>
  <c r="B96" i="21"/>
  <c r="B95" i="21"/>
  <c r="B94" i="21"/>
  <c r="B93" i="21"/>
  <c r="B92" i="21"/>
  <c r="B91" i="21"/>
  <c r="B90" i="21"/>
  <c r="B89" i="21"/>
  <c r="B88" i="21"/>
  <c r="B87" i="21"/>
  <c r="B86" i="21"/>
  <c r="B84" i="21"/>
  <c r="B83" i="21"/>
  <c r="B82" i="21"/>
  <c r="B79" i="21"/>
  <c r="B78" i="21"/>
  <c r="B77" i="21"/>
  <c r="B76" i="21"/>
  <c r="B75" i="21"/>
  <c r="B73" i="21"/>
  <c r="B72" i="21"/>
  <c r="B71" i="21"/>
  <c r="B70" i="21"/>
  <c r="B69" i="21"/>
  <c r="B68" i="21"/>
  <c r="B67" i="21"/>
  <c r="B66" i="21"/>
  <c r="B65" i="21"/>
  <c r="B44" i="21"/>
  <c r="B13" i="21"/>
  <c r="B12" i="21"/>
  <c r="B62" i="21"/>
  <c r="B61" i="21"/>
  <c r="B60" i="21"/>
  <c r="B58" i="21"/>
  <c r="B57" i="21"/>
  <c r="B56" i="21"/>
  <c r="B55" i="21"/>
  <c r="B54" i="21"/>
  <c r="B53" i="21"/>
  <c r="B52" i="21"/>
  <c r="B51" i="21"/>
  <c r="B50" i="21"/>
  <c r="B49" i="21"/>
  <c r="B48" i="21"/>
  <c r="B47" i="21"/>
  <c r="B42" i="21"/>
  <c r="B41" i="21"/>
  <c r="B40" i="21"/>
  <c r="B39" i="21"/>
  <c r="B38" i="21"/>
  <c r="B37" i="21"/>
  <c r="B36" i="21"/>
  <c r="B35" i="21"/>
  <c r="B34" i="21"/>
  <c r="B33" i="21"/>
  <c r="B32" i="21"/>
  <c r="B31" i="21"/>
  <c r="B30" i="21"/>
  <c r="B29" i="21"/>
  <c r="B28" i="21"/>
  <c r="B27" i="21"/>
  <c r="B26" i="21"/>
  <c r="B25" i="21"/>
  <c r="B24" i="21"/>
  <c r="B23" i="21"/>
  <c r="B22" i="21"/>
  <c r="B21" i="21"/>
  <c r="B20" i="21"/>
  <c r="B19" i="21"/>
  <c r="B18" i="21"/>
  <c r="B17" i="21"/>
  <c r="B16" i="21"/>
  <c r="B15" i="21"/>
  <c r="B14" i="21"/>
  <c r="CG5" i="6" l="1"/>
  <c r="BK5" i="2"/>
  <c r="B252" i="21"/>
  <c r="B81" i="21"/>
  <c r="B80" i="21"/>
  <c r="CI5" i="6" l="1"/>
  <c r="V7" i="5"/>
  <c r="U7" i="5"/>
  <c r="T7" i="5"/>
  <c r="S7" i="5"/>
  <c r="U6" i="4"/>
  <c r="T6" i="4"/>
  <c r="S6" i="4"/>
  <c r="R6" i="4"/>
  <c r="B16" i="16"/>
  <c r="B15" i="16"/>
  <c r="B14" i="16"/>
  <c r="B13" i="16"/>
  <c r="B12" i="16"/>
  <c r="B11" i="16"/>
  <c r="B10" i="16"/>
  <c r="B9" i="16"/>
  <c r="B8" i="16"/>
  <c r="B7" i="16"/>
  <c r="B6" i="16"/>
  <c r="B5" i="16"/>
  <c r="B4" i="3"/>
  <c r="D10" i="16" l="1"/>
  <c r="P10" i="16"/>
  <c r="F10" i="16"/>
  <c r="D6" i="16"/>
  <c r="F6" i="16"/>
  <c r="P6" i="16"/>
  <c r="D11" i="16"/>
  <c r="F11" i="16"/>
  <c r="P11" i="16"/>
  <c r="D12" i="16"/>
  <c r="F12" i="16"/>
  <c r="P12" i="16"/>
  <c r="D13" i="16"/>
  <c r="P13" i="16"/>
  <c r="F13" i="16"/>
  <c r="D14" i="16"/>
  <c r="F14" i="16"/>
  <c r="P14" i="16"/>
  <c r="D15" i="16"/>
  <c r="P15" i="16"/>
  <c r="F15" i="16"/>
  <c r="D16" i="16"/>
  <c r="P16" i="16"/>
  <c r="F16" i="16"/>
  <c r="D5" i="16"/>
  <c r="P5" i="16"/>
  <c r="F5" i="16"/>
  <c r="D7" i="16"/>
  <c r="P7" i="16"/>
  <c r="F7" i="16"/>
  <c r="D8" i="16"/>
  <c r="P8" i="16"/>
  <c r="F8" i="16"/>
  <c r="D9" i="16"/>
  <c r="P9" i="16"/>
  <c r="F9" i="16"/>
  <c r="CK5" i="6"/>
  <c r="BP5" i="2"/>
  <c r="H7" i="16"/>
  <c r="E7" i="16"/>
  <c r="I7" i="16"/>
  <c r="E11" i="16"/>
  <c r="H11" i="16"/>
  <c r="I11" i="16"/>
  <c r="H15" i="16"/>
  <c r="E15" i="16"/>
  <c r="I15" i="16"/>
  <c r="H8" i="16"/>
  <c r="I8" i="16"/>
  <c r="E8" i="16"/>
  <c r="H12" i="16"/>
  <c r="I12" i="16"/>
  <c r="E12" i="16"/>
  <c r="I16" i="16"/>
  <c r="E16" i="16"/>
  <c r="H16" i="16"/>
  <c r="I5" i="16"/>
  <c r="E5" i="16"/>
  <c r="H5" i="16"/>
  <c r="H9" i="16"/>
  <c r="I9" i="16"/>
  <c r="H13" i="16"/>
  <c r="E13" i="16"/>
  <c r="I13" i="16"/>
  <c r="E6" i="16"/>
  <c r="H6" i="16"/>
  <c r="I6" i="16"/>
  <c r="E10" i="16"/>
  <c r="I10" i="16"/>
  <c r="H10" i="16"/>
  <c r="H14" i="16"/>
  <c r="E14" i="16"/>
  <c r="I14" i="16"/>
  <c r="B4" i="6"/>
  <c r="B4" i="2"/>
  <c r="CM5" i="6" l="1"/>
  <c r="BR5" i="2"/>
  <c r="W60" i="16"/>
  <c r="X58" i="16"/>
  <c r="X60" i="16" s="1"/>
  <c r="CO5" i="6" l="1"/>
  <c r="BT5" i="2"/>
  <c r="O5" i="7"/>
  <c r="CQ5" i="6" l="1"/>
  <c r="AE110" i="5"/>
  <c r="AE22" i="5"/>
  <c r="AE21" i="5" s="1"/>
  <c r="X92" i="5"/>
  <c r="X117" i="5"/>
  <c r="X116" i="5" s="1"/>
  <c r="AE99" i="5"/>
  <c r="AE100" i="5"/>
  <c r="X99" i="5"/>
  <c r="X145" i="5"/>
  <c r="X144" i="5" s="1"/>
  <c r="X42" i="5"/>
  <c r="X41" i="5" s="1"/>
  <c r="X142" i="5"/>
  <c r="X96" i="5"/>
  <c r="X22" i="5"/>
  <c r="X21" i="5" s="1"/>
  <c r="X94" i="5"/>
  <c r="AE119" i="5"/>
  <c r="AE118" i="5" s="1"/>
  <c r="AE145" i="5"/>
  <c r="AE144" i="5" s="1"/>
  <c r="AE20" i="5"/>
  <c r="AE19" i="5" s="1"/>
  <c r="X44" i="5"/>
  <c r="X43" i="5" s="1"/>
  <c r="X100" i="5"/>
  <c r="X20" i="5"/>
  <c r="X19" i="5" s="1"/>
  <c r="X101" i="5"/>
  <c r="AE117" i="5"/>
  <c r="AE116" i="5" s="1"/>
  <c r="X110" i="5"/>
  <c r="X70" i="5"/>
  <c r="X69" i="5" s="1"/>
  <c r="X119" i="5"/>
  <c r="X118" i="5" s="1"/>
  <c r="AE101" i="5"/>
  <c r="X112" i="5"/>
  <c r="X143" i="5"/>
  <c r="X141" i="5"/>
  <c r="X65" i="5"/>
  <c r="AE44" i="5"/>
  <c r="AE43" i="5" s="1"/>
  <c r="X97" i="5"/>
  <c r="X95" i="5"/>
  <c r="X93" i="5"/>
  <c r="AE42" i="5"/>
  <c r="AE41" i="5" s="1"/>
  <c r="AE70" i="5"/>
  <c r="AE69" i="5" s="1"/>
  <c r="AE112" i="5"/>
  <c r="AE65" i="5"/>
  <c r="B5" i="8"/>
  <c r="C5" i="5"/>
  <c r="AE98" i="5" l="1"/>
  <c r="CS5" i="6"/>
  <c r="X98" i="5"/>
  <c r="X91" i="5"/>
  <c r="BY5" i="2"/>
  <c r="B1" i="16"/>
  <c r="X128" i="4"/>
  <c r="I128" i="4"/>
  <c r="X127" i="4"/>
  <c r="C127" i="4"/>
  <c r="Y22" i="4"/>
  <c r="Z22" i="4" s="1"/>
  <c r="R22" i="4"/>
  <c r="Y21" i="4"/>
  <c r="Z21" i="4" s="1"/>
  <c r="R21" i="4"/>
  <c r="Y20" i="4"/>
  <c r="Z20" i="4" s="1"/>
  <c r="R20" i="4"/>
  <c r="P10" i="4"/>
  <c r="B10" i="4"/>
  <c r="C4" i="4"/>
  <c r="C6" i="16"/>
  <c r="AG104" i="4"/>
  <c r="CU5" i="6" l="1"/>
  <c r="CA5" i="2"/>
  <c r="D5" i="4"/>
  <c r="D4" i="4" s="1"/>
  <c r="D6" i="5"/>
  <c r="D5" i="5" s="1"/>
  <c r="AF5" i="16"/>
  <c r="AE5" i="16"/>
  <c r="C7" i="16"/>
  <c r="AA6" i="16" s="1"/>
  <c r="CC5" i="2" l="1"/>
  <c r="E5" i="4"/>
  <c r="E4" i="4" s="1"/>
  <c r="E6" i="5"/>
  <c r="E5" i="5" s="1"/>
  <c r="C8" i="16"/>
  <c r="CD5" i="2" l="1"/>
  <c r="AA7" i="16"/>
  <c r="F5" i="4"/>
  <c r="F4" i="4" s="1"/>
  <c r="F6" i="5"/>
  <c r="F5" i="5" s="1"/>
  <c r="R45" i="4"/>
  <c r="C9" i="16"/>
  <c r="CE5" i="2" l="1"/>
  <c r="G5" i="4"/>
  <c r="G4" i="4" s="1"/>
  <c r="G6" i="5"/>
  <c r="G5" i="5" s="1"/>
  <c r="R57" i="4"/>
  <c r="Y49" i="4"/>
  <c r="Z49" i="4" s="1"/>
  <c r="Y44" i="4"/>
  <c r="Z44" i="4" s="1"/>
  <c r="AG44" i="4" s="1"/>
  <c r="R49" i="4"/>
  <c r="X57" i="4"/>
  <c r="Y45" i="4"/>
  <c r="Z45" i="4" s="1"/>
  <c r="AG45" i="4" s="1"/>
  <c r="R44" i="4"/>
  <c r="Y46" i="4"/>
  <c r="Z46" i="4" s="1"/>
  <c r="AG46" i="4" s="1"/>
  <c r="R46" i="4"/>
  <c r="C10" i="16"/>
  <c r="CF5" i="2" l="1"/>
  <c r="H5" i="4"/>
  <c r="H4" i="4" s="1"/>
  <c r="H6" i="5"/>
  <c r="H5" i="5" s="1"/>
  <c r="C12" i="16"/>
  <c r="CG5" i="2" l="1"/>
  <c r="AA11" i="16"/>
  <c r="J5" i="4"/>
  <c r="J6" i="5"/>
  <c r="J5" i="5" s="1"/>
  <c r="I5" i="4"/>
  <c r="I4" i="4" s="1"/>
  <c r="I6" i="5"/>
  <c r="I5" i="5" s="1"/>
  <c r="CH5" i="2" l="1"/>
  <c r="AE178" i="5"/>
  <c r="J4" i="4"/>
  <c r="C13" i="16"/>
  <c r="CI5" i="2" l="1"/>
  <c r="AA12" i="16"/>
  <c r="K5" i="4"/>
  <c r="K4" i="4" s="1"/>
  <c r="K6" i="5"/>
  <c r="K5" i="5" s="1"/>
  <c r="AE183" i="5"/>
  <c r="X105" i="5"/>
  <c r="AE253" i="5"/>
  <c r="AE193" i="5"/>
  <c r="AE267" i="5"/>
  <c r="AE78" i="5"/>
  <c r="X256" i="5"/>
  <c r="AE170" i="5"/>
  <c r="X157" i="5"/>
  <c r="X102" i="5"/>
  <c r="X66" i="5"/>
  <c r="X196" i="5"/>
  <c r="AE135" i="5"/>
  <c r="X281" i="5"/>
  <c r="X125" i="5"/>
  <c r="AE297" i="5"/>
  <c r="X219" i="5"/>
  <c r="X313" i="5"/>
  <c r="X300" i="5"/>
  <c r="X55" i="5"/>
  <c r="X223" i="5"/>
  <c r="X293" i="5"/>
  <c r="AE197" i="5"/>
  <c r="AE166" i="5"/>
  <c r="AE207" i="5"/>
  <c r="AE188" i="5"/>
  <c r="AE137" i="5"/>
  <c r="AE136" i="5" s="1"/>
  <c r="AE83" i="5"/>
  <c r="AE292" i="5"/>
  <c r="X28" i="5"/>
  <c r="X104" i="5"/>
  <c r="AE227" i="5"/>
  <c r="AE210" i="5"/>
  <c r="X139" i="5"/>
  <c r="X273" i="5"/>
  <c r="X254" i="5"/>
  <c r="AE194" i="5"/>
  <c r="X131" i="5"/>
  <c r="AE302" i="5"/>
  <c r="X237" i="5"/>
  <c r="X221" i="5"/>
  <c r="AE108" i="5"/>
  <c r="AE317" i="5"/>
  <c r="X160" i="5"/>
  <c r="AE139" i="5"/>
  <c r="X166" i="5"/>
  <c r="X250" i="5"/>
  <c r="X297" i="5"/>
  <c r="X25" i="5"/>
  <c r="AE243" i="5"/>
  <c r="X71" i="5"/>
  <c r="AE214" i="5"/>
  <c r="AE308" i="5"/>
  <c r="X271" i="5"/>
  <c r="X303" i="5"/>
  <c r="X252" i="5"/>
  <c r="X114" i="5"/>
  <c r="X199" i="5"/>
  <c r="AE260" i="5"/>
  <c r="AE153" i="5"/>
  <c r="X86" i="5"/>
  <c r="X247" i="5"/>
  <c r="AE307" i="5"/>
  <c r="X181" i="5"/>
  <c r="X76" i="5"/>
  <c r="X124" i="5"/>
  <c r="AE219" i="5"/>
  <c r="X298" i="5"/>
  <c r="X26" i="5"/>
  <c r="X174" i="5"/>
  <c r="AE150" i="5"/>
  <c r="X135" i="5"/>
  <c r="AE258" i="5"/>
  <c r="X126" i="5"/>
  <c r="AE51" i="5"/>
  <c r="AE164" i="5"/>
  <c r="X235" i="5"/>
  <c r="X269" i="5"/>
  <c r="X307" i="5"/>
  <c r="X231" i="5"/>
  <c r="X107" i="5"/>
  <c r="X61" i="5"/>
  <c r="X185" i="5"/>
  <c r="AE246" i="5"/>
  <c r="AE275" i="5"/>
  <c r="AE236" i="5"/>
  <c r="X190" i="5"/>
  <c r="AE245" i="5"/>
  <c r="X90" i="5"/>
  <c r="AE152" i="5"/>
  <c r="X34" i="5"/>
  <c r="X284" i="5"/>
  <c r="AE81" i="5"/>
  <c r="AE215" i="5"/>
  <c r="AE209" i="5"/>
  <c r="AE304" i="5"/>
  <c r="AE103" i="5"/>
  <c r="AE313" i="5"/>
  <c r="X236" i="5"/>
  <c r="X29" i="5"/>
  <c r="AE121" i="5"/>
  <c r="X238" i="5"/>
  <c r="X310" i="5"/>
  <c r="X85" i="5"/>
  <c r="X192" i="5"/>
  <c r="X194" i="5"/>
  <c r="X270" i="5"/>
  <c r="AE125" i="5"/>
  <c r="X314" i="5"/>
  <c r="X115" i="5"/>
  <c r="AE156" i="5"/>
  <c r="AE185" i="5"/>
  <c r="X288" i="5"/>
  <c r="AE84" i="5"/>
  <c r="AE190" i="5"/>
  <c r="AE284" i="5"/>
  <c r="AE225" i="5"/>
  <c r="AE31" i="5"/>
  <c r="AE279" i="5"/>
  <c r="AE85" i="5"/>
  <c r="X207" i="5"/>
  <c r="X80" i="5"/>
  <c r="X164" i="5"/>
  <c r="X258" i="5"/>
  <c r="AE48" i="5"/>
  <c r="AE90" i="5"/>
  <c r="AE199" i="5"/>
  <c r="X249" i="5"/>
  <c r="X292" i="5"/>
  <c r="AE66" i="5"/>
  <c r="X153" i="5"/>
  <c r="AE187" i="5"/>
  <c r="X251" i="5"/>
  <c r="X286" i="5"/>
  <c r="AE132" i="5"/>
  <c r="AE255" i="5"/>
  <c r="AE26" i="5"/>
  <c r="AE68" i="5"/>
  <c r="AE192" i="5"/>
  <c r="AE288" i="5"/>
  <c r="X89" i="5"/>
  <c r="AE296" i="5"/>
  <c r="X245" i="5"/>
  <c r="AE115" i="5"/>
  <c r="AE86" i="5"/>
  <c r="AE305" i="5"/>
  <c r="AE223" i="5"/>
  <c r="X48" i="5"/>
  <c r="X152" i="5"/>
  <c r="AE114" i="5"/>
  <c r="X282" i="5"/>
  <c r="AE89" i="5"/>
  <c r="X183" i="5"/>
  <c r="AE244" i="5"/>
  <c r="X170" i="5"/>
  <c r="X213" i="5"/>
  <c r="AE247" i="5"/>
  <c r="AE52" i="5"/>
  <c r="X308" i="5"/>
  <c r="X187" i="5"/>
  <c r="AE248" i="5"/>
  <c r="X182" i="5"/>
  <c r="X67" i="5"/>
  <c r="AE229" i="5"/>
  <c r="X279" i="5"/>
  <c r="X154" i="5"/>
  <c r="X309" i="5"/>
  <c r="X132" i="5"/>
  <c r="X225" i="5"/>
  <c r="X294" i="5"/>
  <c r="AE303" i="5"/>
  <c r="AE105" i="5"/>
  <c r="X57" i="5"/>
  <c r="X203" i="5"/>
  <c r="X265" i="5"/>
  <c r="AE168" i="5"/>
  <c r="AE237" i="5"/>
  <c r="X197" i="5"/>
  <c r="AE311" i="5"/>
  <c r="AE107" i="5"/>
  <c r="X56" i="5"/>
  <c r="AE82" i="5"/>
  <c r="X180" i="5"/>
  <c r="AE203" i="5"/>
  <c r="AE241" i="5"/>
  <c r="AE301" i="5"/>
  <c r="X202" i="5"/>
  <c r="AE282" i="5"/>
  <c r="AE102" i="5"/>
  <c r="AE88" i="5"/>
  <c r="AE211" i="5"/>
  <c r="AE306" i="5"/>
  <c r="X172" i="5"/>
  <c r="AE312" i="5"/>
  <c r="AE259" i="5"/>
  <c r="X27" i="5"/>
  <c r="X184" i="5"/>
  <c r="X178" i="5"/>
  <c r="X52" i="5"/>
  <c r="X267" i="5"/>
  <c r="AE182" i="5"/>
  <c r="AE186" i="5"/>
  <c r="X215" i="5"/>
  <c r="AE299" i="5"/>
  <c r="AE131" i="5"/>
  <c r="X200" i="5"/>
  <c r="X227" i="5"/>
  <c r="X262" i="5"/>
  <c r="X295" i="5"/>
  <c r="AE158" i="5"/>
  <c r="AE264" i="5"/>
  <c r="X133" i="5"/>
  <c r="X83" i="5"/>
  <c r="AE28" i="5"/>
  <c r="AE180" i="5"/>
  <c r="X244" i="5"/>
  <c r="AE273" i="5"/>
  <c r="X316" i="5"/>
  <c r="X58" i="5"/>
  <c r="X211" i="5"/>
  <c r="AE71" i="5"/>
  <c r="AE25" i="5"/>
  <c r="X179" i="5"/>
  <c r="AE202" i="5"/>
  <c r="AE240" i="5"/>
  <c r="AE300" i="5"/>
  <c r="X156" i="5"/>
  <c r="AE235" i="5"/>
  <c r="X77" i="5"/>
  <c r="AE133" i="5"/>
  <c r="X108" i="5"/>
  <c r="X188" i="5"/>
  <c r="AE221" i="5"/>
  <c r="X299" i="5"/>
  <c r="X162" i="5"/>
  <c r="X253" i="5"/>
  <c r="X81" i="5"/>
  <c r="X201" i="5"/>
  <c r="X229" i="5"/>
  <c r="X264" i="5"/>
  <c r="X296" i="5"/>
  <c r="AE154" i="5"/>
  <c r="AE266" i="5"/>
  <c r="X302" i="5"/>
  <c r="AE181" i="5"/>
  <c r="X290" i="5"/>
  <c r="X121" i="5"/>
  <c r="X78" i="5"/>
  <c r="AE172" i="5"/>
  <c r="X239" i="5"/>
  <c r="X275" i="5"/>
  <c r="X311" i="5"/>
  <c r="AE201" i="5"/>
  <c r="AE290" i="5"/>
  <c r="AE34" i="5"/>
  <c r="X168" i="5"/>
  <c r="AE196" i="5"/>
  <c r="X260" i="5"/>
  <c r="AE294" i="5"/>
  <c r="X317" i="5"/>
  <c r="X84" i="5"/>
  <c r="AE140" i="5"/>
  <c r="X246" i="5"/>
  <c r="X195" i="5"/>
  <c r="X217" i="5"/>
  <c r="AE256" i="5"/>
  <c r="AE316" i="5"/>
  <c r="X198" i="5"/>
  <c r="AE265" i="5"/>
  <c r="X59" i="5"/>
  <c r="X31" i="5"/>
  <c r="X51" i="5"/>
  <c r="X205" i="5"/>
  <c r="X243" i="5"/>
  <c r="X315" i="5"/>
  <c r="X79" i="5"/>
  <c r="AE174" i="5"/>
  <c r="X240" i="5"/>
  <c r="X277" i="5"/>
  <c r="X312" i="5"/>
  <c r="X137" i="5"/>
  <c r="AE198" i="5"/>
  <c r="AE277" i="5"/>
  <c r="X319" i="5"/>
  <c r="X210" i="5"/>
  <c r="AE315" i="5"/>
  <c r="AE77" i="5"/>
  <c r="X103" i="5"/>
  <c r="AE67" i="5"/>
  <c r="X158" i="5"/>
  <c r="AE191" i="5"/>
  <c r="X255" i="5"/>
  <c r="AE286" i="5"/>
  <c r="AE233" i="5"/>
  <c r="X301" i="5"/>
  <c r="X189" i="5"/>
  <c r="X209" i="5"/>
  <c r="AE250" i="5"/>
  <c r="AE310" i="5"/>
  <c r="AE251" i="5"/>
  <c r="AE29" i="5"/>
  <c r="X191" i="5"/>
  <c r="AE252" i="5"/>
  <c r="AE76" i="5"/>
  <c r="AE80" i="5"/>
  <c r="AE162" i="5"/>
  <c r="X233" i="5"/>
  <c r="AE271" i="5"/>
  <c r="X306" i="5"/>
  <c r="AE189" i="5"/>
  <c r="AE295" i="5"/>
  <c r="X140" i="5"/>
  <c r="X82" i="5"/>
  <c r="AE27" i="5"/>
  <c r="AE126" i="5"/>
  <c r="AE179" i="5"/>
  <c r="X266" i="5"/>
  <c r="AE213" i="5"/>
  <c r="X193" i="5"/>
  <c r="AE195" i="5"/>
  <c r="X259" i="5"/>
  <c r="AE293" i="5"/>
  <c r="AE124" i="5"/>
  <c r="X241" i="5"/>
  <c r="AE157" i="5"/>
  <c r="AE249" i="5"/>
  <c r="AE309" i="5"/>
  <c r="X186" i="5"/>
  <c r="AE239" i="5"/>
  <c r="X106" i="5"/>
  <c r="X68" i="5"/>
  <c r="AE104" i="5"/>
  <c r="AE231" i="5"/>
  <c r="AE176" i="5"/>
  <c r="AE270" i="5"/>
  <c r="X88" i="5"/>
  <c r="AE269" i="5"/>
  <c r="X150" i="5"/>
  <c r="AE184" i="5"/>
  <c r="X248" i="5"/>
  <c r="AE281" i="5"/>
  <c r="AE79" i="5"/>
  <c r="X176" i="5"/>
  <c r="AE200" i="5"/>
  <c r="AE238" i="5"/>
  <c r="AE298" i="5"/>
  <c r="X214" i="5"/>
  <c r="AE254" i="5"/>
  <c r="X304" i="5"/>
  <c r="AE314" i="5"/>
  <c r="X305" i="5"/>
  <c r="C14" i="16"/>
  <c r="AA13" i="16" s="1"/>
  <c r="CJ5" i="2" l="1"/>
  <c r="X64" i="5"/>
  <c r="AE64" i="5"/>
  <c r="L5" i="4"/>
  <c r="L4" i="4" s="1"/>
  <c r="L6" i="5"/>
  <c r="L5" i="5" s="1"/>
  <c r="C15" i="16"/>
  <c r="CK5" i="2" l="1"/>
  <c r="AA14" i="16"/>
  <c r="M5" i="4"/>
  <c r="M4" i="4" s="1"/>
  <c r="M6" i="5"/>
  <c r="M5" i="5" s="1"/>
  <c r="C16" i="16"/>
  <c r="AA16" i="16" s="1"/>
  <c r="W7" i="16" l="1"/>
  <c r="O11" i="16"/>
  <c r="T11" i="16"/>
  <c r="X15" i="16"/>
  <c r="Y8" i="16"/>
  <c r="T12" i="16"/>
  <c r="W12" i="16"/>
  <c r="R16" i="16"/>
  <c r="W16" i="16"/>
  <c r="W5" i="16"/>
  <c r="O5" i="16"/>
  <c r="X9" i="16"/>
  <c r="T9" i="16"/>
  <c r="O13" i="16"/>
  <c r="W13" i="16"/>
  <c r="X13" i="16"/>
  <c r="X6" i="16"/>
  <c r="T6" i="16"/>
  <c r="T10" i="16"/>
  <c r="O10" i="16"/>
  <c r="S11" i="16"/>
  <c r="S6" i="16"/>
  <c r="X7" i="16"/>
  <c r="Y15" i="16"/>
  <c r="W8" i="16"/>
  <c r="O8" i="16"/>
  <c r="R12" i="16"/>
  <c r="X16" i="16"/>
  <c r="O16" i="16"/>
  <c r="Y5" i="16"/>
  <c r="T5" i="16"/>
  <c r="W9" i="16"/>
  <c r="Y13" i="16"/>
  <c r="W6" i="16"/>
  <c r="Y6" i="16"/>
  <c r="Y10" i="16"/>
  <c r="R14" i="16"/>
  <c r="S8" i="16"/>
  <c r="S7" i="16"/>
  <c r="S10" i="16"/>
  <c r="R7" i="16"/>
  <c r="O7" i="16"/>
  <c r="Y11" i="16"/>
  <c r="O15" i="16"/>
  <c r="T15" i="16"/>
  <c r="T8" i="16"/>
  <c r="R8" i="16"/>
  <c r="Y12" i="16"/>
  <c r="O12" i="16"/>
  <c r="T16" i="16"/>
  <c r="S5" i="16"/>
  <c r="R9" i="16"/>
  <c r="Y9" i="16"/>
  <c r="R13" i="16"/>
  <c r="O6" i="16"/>
  <c r="R10" i="16"/>
  <c r="T14" i="16"/>
  <c r="O14" i="16"/>
  <c r="S16" i="16"/>
  <c r="S15" i="16"/>
  <c r="S14" i="16"/>
  <c r="T7" i="16"/>
  <c r="Y7" i="16"/>
  <c r="W11" i="16"/>
  <c r="R11" i="16"/>
  <c r="X11" i="16"/>
  <c r="R15" i="16"/>
  <c r="W15" i="16"/>
  <c r="X8" i="16"/>
  <c r="X12" i="16"/>
  <c r="Y16" i="16"/>
  <c r="R5" i="16"/>
  <c r="X5" i="16"/>
  <c r="O9" i="16"/>
  <c r="T13" i="16"/>
  <c r="R6" i="16"/>
  <c r="X10" i="16"/>
  <c r="W10" i="16"/>
  <c r="Y14" i="16"/>
  <c r="W14" i="16"/>
  <c r="X14" i="16"/>
  <c r="S9" i="16"/>
  <c r="S12" i="16"/>
  <c r="S13" i="16"/>
  <c r="N5" i="4"/>
  <c r="N4" i="4" s="1"/>
  <c r="BF8" i="6" s="1"/>
  <c r="N6" i="5"/>
  <c r="N5" i="5" s="1"/>
  <c r="BF9" i="6" l="1"/>
  <c r="AM9" i="7"/>
  <c r="AM8" i="7"/>
  <c r="AM7" i="7"/>
  <c r="BF7" i="6"/>
  <c r="DC9" i="2"/>
  <c r="DC7" i="2"/>
  <c r="DC8" i="2"/>
  <c r="DD9" i="2"/>
  <c r="DD7" i="2"/>
  <c r="DD8" i="2"/>
  <c r="Y18" i="16"/>
  <c r="U5" i="16"/>
  <c r="R40" i="4"/>
  <c r="Y40" i="4"/>
  <c r="Z40" i="4" s="1"/>
  <c r="AG40" i="4" s="1"/>
  <c r="AF29" i="4"/>
  <c r="AE40" i="5"/>
  <c r="AE39" i="5" s="1"/>
  <c r="X40" i="5"/>
  <c r="X39" i="5" s="1"/>
  <c r="X257" i="5"/>
  <c r="AE257" i="5"/>
  <c r="AE32" i="5"/>
  <c r="X32" i="5"/>
  <c r="X30" i="5"/>
  <c r="AE30" i="5"/>
  <c r="X242" i="5"/>
  <c r="AE242" i="5"/>
  <c r="AE24" i="5"/>
  <c r="X24" i="5"/>
  <c r="X75" i="5"/>
  <c r="X74" i="5" s="1"/>
  <c r="AE75" i="5"/>
  <c r="AE74" i="5" s="1"/>
  <c r="X46" i="5"/>
  <c r="AE46" i="5"/>
  <c r="AE120" i="5"/>
  <c r="X120" i="5"/>
  <c r="Y41" i="4"/>
  <c r="Z41" i="4" s="1"/>
  <c r="AG41" i="4" s="1"/>
  <c r="R41" i="4"/>
  <c r="X123" i="5"/>
  <c r="X72" i="5"/>
  <c r="AE72" i="5"/>
  <c r="AE123" i="5"/>
  <c r="AE129" i="5"/>
  <c r="AE134" i="5"/>
  <c r="X129" i="5"/>
  <c r="X134" i="5"/>
  <c r="R29" i="4"/>
  <c r="X60" i="5"/>
  <c r="AE33" i="5"/>
  <c r="X33" i="5"/>
  <c r="AE47" i="5"/>
  <c r="X47" i="5"/>
  <c r="X62" i="5"/>
  <c r="AE37" i="5"/>
  <c r="AE36" i="5" s="1"/>
  <c r="X37" i="5"/>
  <c r="X36" i="5" s="1"/>
  <c r="X38" i="5"/>
  <c r="AE38" i="5"/>
  <c r="X50" i="5"/>
  <c r="AE50" i="5"/>
  <c r="AC36" i="4"/>
  <c r="R51" i="4"/>
  <c r="Y51" i="4"/>
  <c r="Z51" i="4" s="1"/>
  <c r="Y43" i="4"/>
  <c r="Z43" i="4" s="1"/>
  <c r="AG43" i="4" s="1"/>
  <c r="R43" i="4"/>
  <c r="X54" i="5" l="1"/>
  <c r="AF57" i="4"/>
  <c r="X29" i="4"/>
  <c r="R16" i="4"/>
  <c r="Y16" i="4"/>
  <c r="Z16" i="4" s="1"/>
  <c r="AG16" i="4" s="1"/>
  <c r="X54" i="4"/>
  <c r="R54" i="4"/>
  <c r="AC63" i="4"/>
  <c r="Y42" i="4"/>
  <c r="Z42" i="4" s="1"/>
  <c r="AG42" i="4" s="1"/>
  <c r="R42" i="4"/>
  <c r="Y14" i="4"/>
  <c r="Z14" i="4" s="1"/>
  <c r="AG14" i="4" s="1"/>
  <c r="R14" i="4"/>
  <c r="R15" i="4"/>
  <c r="Y15" i="4"/>
  <c r="Z15" i="4" s="1"/>
  <c r="AG15" i="4" s="1"/>
  <c r="R13" i="4"/>
  <c r="AG99" i="4"/>
  <c r="R53" i="4"/>
  <c r="R26" i="4"/>
  <c r="X53" i="4"/>
  <c r="AG95" i="4"/>
  <c r="X26" i="4"/>
  <c r="S18" i="16"/>
  <c r="B4" i="7" l="1"/>
  <c r="L36" i="4"/>
  <c r="J6" i="16" l="1"/>
  <c r="J16" i="16"/>
  <c r="J9" i="16"/>
  <c r="J8" i="16"/>
  <c r="J12" i="16"/>
  <c r="H18" i="16"/>
  <c r="J10" i="16"/>
  <c r="J11" i="16"/>
  <c r="J14" i="16"/>
  <c r="J5" i="16"/>
  <c r="J13" i="16"/>
  <c r="J7" i="16"/>
  <c r="J15" i="16"/>
  <c r="M14" i="16"/>
  <c r="L13" i="16"/>
  <c r="AG13" i="16" s="1"/>
  <c r="M10" i="16"/>
  <c r="L9" i="16"/>
  <c r="AG9" i="16" s="1"/>
  <c r="M6" i="16"/>
  <c r="L5" i="16"/>
  <c r="M9" i="16"/>
  <c r="M15" i="16"/>
  <c r="L14" i="16"/>
  <c r="AG14" i="16" s="1"/>
  <c r="M11" i="16"/>
  <c r="L10" i="16"/>
  <c r="M7" i="16"/>
  <c r="L6" i="16"/>
  <c r="AG6" i="16" s="1"/>
  <c r="L16" i="16"/>
  <c r="M13" i="16"/>
  <c r="L12" i="16"/>
  <c r="AG12" i="16" s="1"/>
  <c r="M16" i="16"/>
  <c r="L15" i="16"/>
  <c r="AG15" i="16" s="1"/>
  <c r="M12" i="16"/>
  <c r="L11" i="16"/>
  <c r="AG11" i="16" s="1"/>
  <c r="M8" i="16"/>
  <c r="L7" i="16"/>
  <c r="AG7" i="16" s="1"/>
  <c r="L8" i="16"/>
  <c r="AG8" i="16" s="1"/>
  <c r="M5" i="16"/>
  <c r="R19" i="4"/>
  <c r="Y13" i="4"/>
  <c r="X28" i="4" s="1"/>
  <c r="AF28" i="4" s="1"/>
  <c r="Y19" i="4"/>
  <c r="J18" i="16" l="1"/>
  <c r="AG10" i="16"/>
  <c r="AG16" i="16"/>
  <c r="M18" i="16"/>
  <c r="I18" i="16"/>
  <c r="AG5" i="16"/>
  <c r="L18" i="16"/>
  <c r="F18" i="16"/>
  <c r="Z19" i="4"/>
  <c r="Z13" i="4"/>
  <c r="AG13" i="4" l="1"/>
  <c r="M55" i="16"/>
  <c r="M60" i="16" s="1"/>
  <c r="AG74" i="4"/>
  <c r="AG18" i="16"/>
  <c r="B34" i="4"/>
  <c r="AG25" i="4" l="1"/>
  <c r="L34" i="4" s="1"/>
  <c r="W34" i="4" s="1"/>
  <c r="AH34" i="4" l="1"/>
  <c r="AC34" i="4" l="1"/>
  <c r="AE206" i="5" l="1"/>
  <c r="X206" i="5"/>
  <c r="X149" i="5"/>
  <c r="AE149" i="5"/>
  <c r="AE222" i="5"/>
  <c r="X128" i="5"/>
  <c r="AE165" i="5"/>
  <c r="AE283" i="5"/>
  <c r="AE128" i="5"/>
  <c r="X283" i="5"/>
  <c r="AE278" i="5" l="1"/>
  <c r="X169" i="5"/>
  <c r="AE224" i="5"/>
  <c r="X165" i="5"/>
  <c r="X167" i="5"/>
  <c r="AE130" i="5"/>
  <c r="X224" i="5"/>
  <c r="X278" i="5"/>
  <c r="X222" i="5"/>
  <c r="AE169" i="5"/>
  <c r="X280" i="5"/>
  <c r="X226" i="5"/>
  <c r="AE167" i="5"/>
  <c r="AE280" i="5"/>
  <c r="X130" i="5"/>
  <c r="AE226" i="5"/>
  <c r="AE208" i="5"/>
  <c r="X208" i="5"/>
  <c r="AE263" i="5"/>
  <c r="X263" i="5"/>
  <c r="X151" i="5"/>
  <c r="AE151" i="5"/>
  <c r="X122" i="5"/>
  <c r="AE122" i="5"/>
  <c r="AC62" i="4" l="1"/>
  <c r="L62" i="4" s="1"/>
  <c r="AL9" i="16"/>
  <c r="AL8" i="16"/>
  <c r="AQ12" i="16"/>
  <c r="AQ10" i="16"/>
  <c r="AL6" i="16"/>
  <c r="AQ9" i="16"/>
  <c r="U14" i="16"/>
  <c r="U9" i="16"/>
  <c r="AQ6" i="16"/>
  <c r="AL14" i="16"/>
  <c r="AQ5" i="16"/>
  <c r="U10" i="16"/>
  <c r="U7" i="16"/>
  <c r="U6" i="16"/>
  <c r="AL11" i="16"/>
  <c r="U16" i="16"/>
  <c r="AQ13" i="16"/>
  <c r="AL7" i="16"/>
  <c r="AL13" i="16"/>
  <c r="U15" i="16"/>
  <c r="AL12" i="16"/>
  <c r="U8" i="16"/>
  <c r="AQ15" i="16"/>
  <c r="AQ14" i="16"/>
  <c r="AQ8" i="16"/>
  <c r="AL15" i="16"/>
  <c r="U12" i="16"/>
  <c r="U13" i="16"/>
  <c r="U11" i="16"/>
  <c r="AQ11" i="16"/>
  <c r="AQ7" i="16"/>
  <c r="AG91" i="4"/>
  <c r="AG93" i="4"/>
  <c r="AG90" i="4"/>
  <c r="R39" i="4"/>
  <c r="Y50" i="4"/>
  <c r="Y39" i="4"/>
  <c r="X56" i="4" s="1"/>
  <c r="AF56" i="4" s="1"/>
  <c r="AG94" i="4"/>
  <c r="R50" i="4"/>
  <c r="AG92" i="4"/>
  <c r="AG77" i="4"/>
  <c r="Q11" i="16" l="1"/>
  <c r="AL10" i="16"/>
  <c r="AL16" i="16"/>
  <c r="Q10" i="16"/>
  <c r="Q8" i="16"/>
  <c r="Q6" i="16"/>
  <c r="Q16" i="16"/>
  <c r="Q9" i="16"/>
  <c r="P18" i="16"/>
  <c r="Q7" i="16"/>
  <c r="O18" i="16"/>
  <c r="Q5" i="16"/>
  <c r="G10" i="16"/>
  <c r="G7" i="16"/>
  <c r="K7" i="16" s="1"/>
  <c r="G12" i="16"/>
  <c r="K12" i="16" s="1"/>
  <c r="G6" i="16"/>
  <c r="K6" i="16" s="1"/>
  <c r="G8" i="16"/>
  <c r="G15" i="16"/>
  <c r="G14" i="16"/>
  <c r="K14" i="16" s="1"/>
  <c r="G13" i="16"/>
  <c r="K13" i="16" s="1"/>
  <c r="G11" i="16"/>
  <c r="K11" i="16" s="1"/>
  <c r="G16" i="16"/>
  <c r="K16" i="16" s="1"/>
  <c r="R18" i="16"/>
  <c r="W18" i="16"/>
  <c r="AL5" i="16"/>
  <c r="Q15" i="16"/>
  <c r="Q13" i="16"/>
  <c r="Q14" i="16"/>
  <c r="Q12" i="16"/>
  <c r="T18" i="16"/>
  <c r="AG96" i="4"/>
  <c r="AG100" i="4" s="1"/>
  <c r="Y24" i="4"/>
  <c r="Z24" i="4" s="1"/>
  <c r="R24" i="4"/>
  <c r="Y23" i="4"/>
  <c r="R23" i="4"/>
  <c r="Z39" i="4"/>
  <c r="Z50" i="4"/>
  <c r="X55" i="4"/>
  <c r="R52" i="4"/>
  <c r="K10" i="16" l="1"/>
  <c r="AA10" i="16"/>
  <c r="K8" i="16"/>
  <c r="AA8" i="16"/>
  <c r="AB8" i="16" s="1"/>
  <c r="AG39" i="4"/>
  <c r="K15" i="16"/>
  <c r="AA15" i="16"/>
  <c r="AB15" i="16" s="1"/>
  <c r="AB13" i="16"/>
  <c r="AB12" i="16"/>
  <c r="AB11" i="16"/>
  <c r="V11" i="16"/>
  <c r="AB14" i="16"/>
  <c r="AB7" i="16"/>
  <c r="AB6" i="16"/>
  <c r="AL18" i="16"/>
  <c r="V13" i="16"/>
  <c r="V10" i="16"/>
  <c r="V8" i="16"/>
  <c r="V15" i="16"/>
  <c r="V16" i="16"/>
  <c r="V12" i="16"/>
  <c r="V9" i="16"/>
  <c r="R25" i="4"/>
  <c r="V7" i="16"/>
  <c r="V6" i="16"/>
  <c r="G5" i="16"/>
  <c r="AA5" i="16" s="1"/>
  <c r="V14" i="16"/>
  <c r="V5" i="16"/>
  <c r="Q18" i="16"/>
  <c r="U18" i="16"/>
  <c r="Z23" i="4"/>
  <c r="Z25" i="4" s="1"/>
  <c r="AF59" i="4" s="1"/>
  <c r="X27" i="4"/>
  <c r="Z52" i="4"/>
  <c r="Y52" i="4" s="1"/>
  <c r="AG60" i="4" l="1"/>
  <c r="AB10" i="16"/>
  <c r="AD10" i="16" s="1"/>
  <c r="K5" i="16"/>
  <c r="L55" i="16"/>
  <c r="L60" i="16" s="1"/>
  <c r="AD13" i="16"/>
  <c r="AC13" i="16"/>
  <c r="AD15" i="16"/>
  <c r="AC15" i="16"/>
  <c r="AD12" i="16"/>
  <c r="AC12" i="16"/>
  <c r="AD11" i="16"/>
  <c r="AC11" i="16"/>
  <c r="AB5" i="16"/>
  <c r="AB16" i="16"/>
  <c r="AD14" i="16"/>
  <c r="AC14" i="16"/>
  <c r="AD8" i="16"/>
  <c r="AC8" i="16"/>
  <c r="AD7" i="16"/>
  <c r="AC7" i="16"/>
  <c r="AC6" i="16"/>
  <c r="AD6" i="16"/>
  <c r="AG52" i="4"/>
  <c r="V18" i="16"/>
  <c r="Y25" i="4"/>
  <c r="AC10" i="16" l="1"/>
  <c r="AD5" i="16"/>
  <c r="AC5" i="16"/>
  <c r="AD16" i="16"/>
  <c r="AC16" i="16"/>
  <c r="AG66" i="4"/>
  <c r="AI5" i="16" l="1"/>
  <c r="AH5" i="16"/>
  <c r="AG67" i="4"/>
  <c r="AE6" i="16" l="1"/>
  <c r="AF6" i="16"/>
  <c r="AI6" i="16" l="1"/>
  <c r="AF7" i="16" s="1"/>
  <c r="AH6" i="16"/>
  <c r="AE7" i="16" s="1"/>
  <c r="AH7" i="16" l="1"/>
  <c r="AE8" i="16" s="1"/>
  <c r="AI7" i="16"/>
  <c r="AF8" i="16" s="1"/>
  <c r="AI8" i="16" l="1"/>
  <c r="AF9" i="16" s="1"/>
  <c r="AH8" i="16"/>
  <c r="AE9" i="16" s="1"/>
  <c r="X18" i="16" l="1"/>
  <c r="AQ16" i="16"/>
  <c r="AQ18" i="16" s="1"/>
  <c r="X348" i="5"/>
  <c r="I348" i="5"/>
  <c r="X347" i="5"/>
  <c r="G347" i="5"/>
  <c r="AE268" i="5"/>
  <c r="X268" i="5"/>
  <c r="AE138" i="5"/>
  <c r="X138" i="5"/>
  <c r="P12" i="5"/>
  <c r="B12" i="5"/>
  <c r="A1" i="3"/>
  <c r="A1" i="6"/>
  <c r="A1" i="7"/>
  <c r="A1" i="8"/>
  <c r="AE87" i="5" l="1"/>
  <c r="X45" i="5"/>
  <c r="AE45" i="5"/>
  <c r="X155" i="5"/>
  <c r="AE155" i="5"/>
  <c r="X159" i="5"/>
  <c r="AE161" i="5"/>
  <c r="X161" i="5"/>
  <c r="AE163" i="5"/>
  <c r="X163" i="5"/>
  <c r="AE171" i="5"/>
  <c r="X171" i="5"/>
  <c r="AE173" i="5"/>
  <c r="X173" i="5"/>
  <c r="AE175" i="5"/>
  <c r="X175" i="5"/>
  <c r="X204" i="5"/>
  <c r="AE212" i="5"/>
  <c r="X216" i="5"/>
  <c r="X218" i="5"/>
  <c r="AE218" i="5"/>
  <c r="X220" i="5"/>
  <c r="AE220" i="5"/>
  <c r="X228" i="5"/>
  <c r="AE228" i="5"/>
  <c r="X230" i="5"/>
  <c r="AE230" i="5"/>
  <c r="X232" i="5"/>
  <c r="AE232" i="5"/>
  <c r="X261" i="5"/>
  <c r="X272" i="5"/>
  <c r="AE272" i="5"/>
  <c r="X274" i="5"/>
  <c r="AE274" i="5"/>
  <c r="X276" i="5"/>
  <c r="AE276" i="5"/>
  <c r="X285" i="5"/>
  <c r="AE285" i="5"/>
  <c r="X287" i="5"/>
  <c r="AE287" i="5"/>
  <c r="X289" i="5"/>
  <c r="AE289" i="5"/>
  <c r="AE325" i="5"/>
  <c r="A1" i="2"/>
  <c r="AE23" i="5" l="1"/>
  <c r="X291" i="5"/>
  <c r="X234" i="5"/>
  <c r="X212" i="5"/>
  <c r="AE49" i="5"/>
  <c r="X87" i="5"/>
  <c r="X23" i="5"/>
  <c r="AE234" i="5"/>
  <c r="X53" i="5"/>
  <c r="X318" i="5"/>
  <c r="AE291" i="5"/>
  <c r="X49" i="5"/>
  <c r="X136" i="5"/>
  <c r="X177" i="5"/>
  <c r="AE177" i="5"/>
  <c r="X147" i="5" l="1"/>
  <c r="AE147" i="5"/>
  <c r="AE321" i="5"/>
  <c r="X321" i="5"/>
  <c r="AE323" i="5" l="1"/>
  <c r="AE332" i="5" l="1"/>
  <c r="AE335" i="5" s="1"/>
  <c r="AE336" i="5" s="1"/>
  <c r="AK5" i="16" l="1"/>
  <c r="AM5" i="16" l="1"/>
  <c r="AK6" i="16" l="1"/>
  <c r="AM6" i="16" l="1"/>
  <c r="AK7" i="16" l="1"/>
  <c r="AM7" i="16" l="1"/>
  <c r="AK8" i="16" l="1"/>
  <c r="AM8" i="16" l="1"/>
  <c r="B64" i="21" l="1"/>
  <c r="B45" i="21"/>
  <c r="B46" i="21"/>
  <c r="AO18" i="16" l="1"/>
  <c r="AP18" i="16"/>
  <c r="Y5" i="6"/>
  <c r="AO5" i="6"/>
  <c r="E9" i="16"/>
  <c r="E18" i="16" s="1"/>
  <c r="G9" i="16" l="1"/>
  <c r="AA9" i="16" s="1"/>
  <c r="AB9" i="16" s="1"/>
  <c r="AD9" i="16" l="1"/>
  <c r="AD18" i="16" s="1"/>
  <c r="AC9" i="16"/>
  <c r="AB18" i="16"/>
  <c r="G18" i="16"/>
  <c r="K55" i="16" s="1"/>
  <c r="K60" i="16" s="1"/>
  <c r="K61" i="16" s="1"/>
  <c r="K9" i="16"/>
  <c r="K18" i="16" s="1"/>
  <c r="AC18" i="16" l="1"/>
  <c r="AI9" i="16"/>
  <c r="AF10" i="16" s="1"/>
  <c r="AH9" i="16"/>
  <c r="AE10" i="16" s="1"/>
  <c r="AK9" i="16"/>
  <c r="AM9" i="16" l="1"/>
  <c r="AI10" i="16"/>
  <c r="AF11" i="16" s="1"/>
  <c r="AK10" i="16"/>
  <c r="AM10" i="16" s="1"/>
  <c r="AH10" i="16"/>
  <c r="AE11" i="16" s="1"/>
  <c r="AH11" i="16" l="1"/>
  <c r="AE12" i="16" s="1"/>
  <c r="AI11" i="16"/>
  <c r="AF12" i="16" s="1"/>
  <c r="AK11" i="16"/>
  <c r="AM11" i="16" s="1"/>
  <c r="AI12" i="16" l="1"/>
  <c r="AF13" i="16" s="1"/>
  <c r="AH12" i="16"/>
  <c r="AE13" i="16" s="1"/>
  <c r="AK12" i="16"/>
  <c r="AM12" i="16" s="1"/>
  <c r="AI13" i="16" l="1"/>
  <c r="AF14" i="16" s="1"/>
  <c r="AH13" i="16"/>
  <c r="AE14" i="16" s="1"/>
  <c r="AK13" i="16"/>
  <c r="AI14" i="16" l="1"/>
  <c r="AF15" i="16" s="1"/>
  <c r="AH14" i="16"/>
  <c r="AE15" i="16" s="1"/>
  <c r="AK14" i="16"/>
  <c r="AM14" i="16" s="1"/>
  <c r="AM13" i="16"/>
  <c r="AI15" i="16" l="1"/>
  <c r="AF16" i="16" s="1"/>
  <c r="AH15" i="16"/>
  <c r="AE16" i="16" s="1"/>
  <c r="AK15" i="16"/>
  <c r="AM15" i="16" s="1"/>
  <c r="AG70" i="4" l="1"/>
  <c r="AH16" i="16"/>
  <c r="AH18" i="16" s="1"/>
  <c r="AK16" i="16"/>
  <c r="AI16" i="16"/>
  <c r="AI18" i="16" s="1"/>
  <c r="AE18" i="16"/>
  <c r="AG71" i="4"/>
  <c r="AF18" i="16"/>
  <c r="AM16" i="16" l="1"/>
  <c r="AM18" i="16" s="1"/>
  <c r="AK18" i="16"/>
  <c r="AG82" i="4"/>
  <c r="AG85" i="4"/>
  <c r="AG87" i="4" s="1"/>
  <c r="AG102" i="4" s="1"/>
  <c r="AI111" i="4" s="1"/>
  <c r="AI114" i="4" s="1"/>
  <c r="AI115" i="4" s="1"/>
  <c r="AG84" i="4"/>
  <c r="AG81"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LOURDES</author>
  </authors>
  <commentList>
    <comment ref="AH7" authorId="0" shapeId="0" xr:uid="{43A1C7A8-380A-43CB-8E98-4ECE217E5BBB}">
      <text>
        <r>
          <rPr>
            <b/>
            <sz val="9"/>
            <color indexed="81"/>
            <rFont val="Tahoma"/>
            <family val="2"/>
          </rPr>
          <t>Casilla 203 Decreto ejecutivo que determina el porcentaje de tarifa reducida de IVA
en la prestación de servicios definidos como actividades turísticas.</t>
        </r>
        <r>
          <rPr>
            <sz val="9"/>
            <color indexed="81"/>
            <rFont val="Tahoma"/>
            <family val="2"/>
          </rPr>
          <t xml:space="preserve">
Esta casilla debe ser utilizada únicamente por los sujetos y sus establecimientos que
consten en el catastro nacional de establecimientos que cuenten con el Registro de
Turismo publicado en el portal web institucional del Ministerio de Turismo, autorizados
para la aplicación de las tarifas respectivas en las fechas establecidas, debiendo
seleccionar el porcentaje de tarifa reducida de IVA que se establezca mediante Decreto
Ejecutivo, en la prestación de servicios definidos como actividades turísticas conforme lo
establece la Disposición General Tercera de la Ley Orgánica para el Desarrollo
Económico y Sostenibilidad Fiscal tras la pandemia COVID 19, Resolución No. NACDGERCGC22-00000011, 
publicada en el Tercer Suplemento del Registro Oficial No. 7 de 21 de febrero de 2022 y demás normativa vigente. 
Únicamente cuando, dentro de un mismo período semestral o mensual sean aplicables disposiciones de varios 
decretos que hubieren establecido la reducción de la tarifa de IVA dentro del mismo período fiscal,
se podrá utilizar la opción “XXXX”.</t>
        </r>
      </text>
    </comment>
  </commentList>
</comments>
</file>

<file path=xl/sharedStrings.xml><?xml version="1.0" encoding="utf-8"?>
<sst xmlns="http://schemas.openxmlformats.org/spreadsheetml/2006/main" count="5646" uniqueCount="2433">
  <si>
    <t>Descripcion</t>
  </si>
  <si>
    <t>No. de RUC</t>
  </si>
  <si>
    <t>&lt;== modificar por sus datos</t>
  </si>
  <si>
    <t>Razon Social</t>
  </si>
  <si>
    <t>Representante Legal</t>
  </si>
  <si>
    <t>Cedula Rep. Legal</t>
  </si>
  <si>
    <t>Nombre Contador</t>
  </si>
  <si>
    <t>RUC del Contador</t>
  </si>
  <si>
    <t>001</t>
  </si>
  <si>
    <t>&lt;== NO MODIFICAR</t>
  </si>
  <si>
    <t>&lt;== cambie por su email</t>
  </si>
  <si>
    <t>Tipos de Comprobantes para Exportaciones</t>
  </si>
  <si>
    <t>04-Nota de credito</t>
  </si>
  <si>
    <t>05-Nota de debito</t>
  </si>
  <si>
    <t>16-Formulario Único de Exportación (FUE) o Declaración Aduanera Única (DAU) o Declaración Andina de Valor (DAV)</t>
  </si>
  <si>
    <t>41-Comprobante de venta emitido por reembolso</t>
  </si>
  <si>
    <t>47-Nota de Crédito por Reembolso Emitida por Intermediario</t>
  </si>
  <si>
    <t>48-Nota de Débito por Reembolso Emitida por Intermediario</t>
  </si>
  <si>
    <t>Tipos de Comprobantes para Ventas</t>
  </si>
  <si>
    <t>18-Documentos autorizados utilizados en ventas excepto N/C N/D</t>
  </si>
  <si>
    <t>44-Comprobante de Contribuciones y Aportes</t>
  </si>
  <si>
    <t>49-Proveedor Directo de Exportador Bajo Régimen Especial</t>
  </si>
  <si>
    <t>50-A Inst. Estado y Empr. Públicas que percibe ingreso exento de Imp. Renta</t>
  </si>
  <si>
    <t>51-N/C A Inst. Estado y Empr. Públicas que percibe ingreso exento de Imp. Renta</t>
  </si>
  <si>
    <t>52-N/D A Inst. Estado y Empr. Públicas que percibe ingreso exento de Imp. Renta</t>
  </si>
  <si>
    <t>Tipos de Comprobantes para Compras</t>
  </si>
  <si>
    <t>06-Guias de Remision</t>
  </si>
  <si>
    <t>07-Comprobante de Retención</t>
  </si>
  <si>
    <t>08-Boletos o entradas a espectáculos públicos</t>
  </si>
  <si>
    <t>09-Tiquetes o vales emitidos por máquinas registradoras</t>
  </si>
  <si>
    <t>11-Pasajes expedidos por empresas de aviación</t>
  </si>
  <si>
    <t>12-Documentos emitidos por instituciones financieras</t>
  </si>
  <si>
    <t>15-Comprobante de venta emitido en el Exterior</t>
  </si>
  <si>
    <t>19-Comprobantes de Pago de Cuotas o Aportes</t>
  </si>
  <si>
    <t>20-Documentos por Servicios Administrativos emitidos por Inst. del Estado</t>
  </si>
  <si>
    <t>21-Carta de Porte Aéreo</t>
  </si>
  <si>
    <t>22-RECAP</t>
  </si>
  <si>
    <t>43-Liquidacion para Explotacion y Exploracion de Hidrocarburos</t>
  </si>
  <si>
    <t>45-Liquidación por reclamos de aseguradoras</t>
  </si>
  <si>
    <t>294-Liquidación de compra de Bienes Muebles Usados</t>
  </si>
  <si>
    <t xml:space="preserve">344-Liquidación de compra de vehículos usados </t>
  </si>
  <si>
    <t>Tipos de Sustentos Tributarios</t>
  </si>
  <si>
    <t>00- Casos especiales cuyo sustento no aplica en las opciones anteriores</t>
  </si>
  <si>
    <t>01- Crédito Tributario para declaración de IVA (servicios y bienes distintos de inventarios y activos fijos)</t>
  </si>
  <si>
    <t>02- Costo o Gasto para declaración de IR (servicios y bienes distintos de inventarios y activos fijos)</t>
  </si>
  <si>
    <t>03- Activo Fijo - Crédito Tributario para declaración de IVA</t>
  </si>
  <si>
    <t>04- Activo Fijo - Costo o Gasto para declaración de IR</t>
  </si>
  <si>
    <t>05- Liquidación Gastos de Viaje, hospedaje y alimentación Gastos IR (a nombre de empleados y no de la empresa)</t>
  </si>
  <si>
    <t>06- Inventario - Crédito Tributario para declaración de IVA</t>
  </si>
  <si>
    <t>07- Inventario - Costo o Gasto para declaración de IR</t>
  </si>
  <si>
    <t>08- Valor pagado para solicitar Reembolso de Gasto (intermediario)</t>
  </si>
  <si>
    <t>09- Reembolso por Siniestros</t>
  </si>
  <si>
    <t>10-Distribución de Dividendos, Beneficios o Utilidades</t>
  </si>
  <si>
    <t>11-Convenios de Debito o Recaudacion para IFI's</t>
  </si>
  <si>
    <t>12-Impuestos y retenciones presuntivos</t>
  </si>
  <si>
    <t>13-Valores reconocidos por entidades del sector publico a favor de sujetos pasivos</t>
  </si>
  <si>
    <t>Formas de Pagos</t>
  </si>
  <si>
    <t>01-SIN UTILIZACION DEL SISTEMA FINANCIERO</t>
  </si>
  <si>
    <t>02-CHEQUE PROPIO (max.hasta agosto 2016)</t>
  </si>
  <si>
    <t>03-CHEQUE CERTIFICADO (max.hasta agosto 2016)</t>
  </si>
  <si>
    <t>04-CHEQUE DE GERENCIA (max.hasta agosto 2016)</t>
  </si>
  <si>
    <t>05-CHEQUE DEL EXTERIOR (max.hasta agosto 2016)</t>
  </si>
  <si>
    <t>06-DÈBITO DE CUENTA (max.hasta agosto 2016)</t>
  </si>
  <si>
    <t>07-TRANSFERENCIA PROPIO BANCO (max.hasta agosto 2016)</t>
  </si>
  <si>
    <t>08-TRANSFERENCIA OTRO BANCO NACIONAL (max.hasta agosto 2016)</t>
  </si>
  <si>
    <t>09-TRANSFERENCIA  BANCO EXTERIOR (max.hasta agosto 2016)</t>
  </si>
  <si>
    <t>10-TARJETA DE CRÈDITO NACIONAL (max.hasta agosto 2016)</t>
  </si>
  <si>
    <t>11-TARJETA DE CRÈDITO INTERNACIONAL (max.hasta agosto 2016)</t>
  </si>
  <si>
    <t>12-GIRO (max.hasta agosto 2016)</t>
  </si>
  <si>
    <t>13-DEPOSITO EN CUENTA (CORRIENTE/AHORROS) (max.hasta agosto 2016)</t>
  </si>
  <si>
    <t>14-ENDOSO DE INVERSIÒN (max.hasta agosto 2016)</t>
  </si>
  <si>
    <t>15-COMPENSACIÓN DE DEUDAS</t>
  </si>
  <si>
    <t>16-TARJETA DE DÉBITO</t>
  </si>
  <si>
    <t>17-DINERO ELECTRÓNICO</t>
  </si>
  <si>
    <t>18-TARJETA PREPAGO</t>
  </si>
  <si>
    <t>19-TARJETA DE CRÉDITO</t>
  </si>
  <si>
    <t>20-OTROS CON UTILIZACION DEL SISTEMA FINANCIERO</t>
  </si>
  <si>
    <t>21-ENDOSO DE TÍTULOS</t>
  </si>
  <si>
    <t>Tipos de Retenciones</t>
  </si>
  <si>
    <t>Descripción</t>
  </si>
  <si>
    <t>Honorarios profesionales y demás pagos por servicios relacionados con el título profesional</t>
  </si>
  <si>
    <t>Servicios predomina el intelecto no relacionados con el título profesional</t>
  </si>
  <si>
    <t>304A</t>
  </si>
  <si>
    <t>Comisiones y demás pagos por servicios predomina intelecto no relacionados con el título profesional</t>
  </si>
  <si>
    <t>304B</t>
  </si>
  <si>
    <t>Pagos a notarios y registradores de la propiedad y mercantil por sus actividades ejercidas como tales</t>
  </si>
  <si>
    <t>304C</t>
  </si>
  <si>
    <t>Pagos a deportistas, entrenadores, árbitros, miembros del cuerpo técnico por sus actividades ejercidas como tales</t>
  </si>
  <si>
    <t>304D</t>
  </si>
  <si>
    <t>Pagos a artistas por sus actividades ejercidas como tales</t>
  </si>
  <si>
    <t>304E</t>
  </si>
  <si>
    <t>Honorarios y demás pagos por servicios de docencia</t>
  </si>
  <si>
    <t>Servicios predomina la mano de obra</t>
  </si>
  <si>
    <t>Utilización o aprovechamiento de la imagen o renombre</t>
  </si>
  <si>
    <t>Servicios prestados por medios de comunicación y agencias de publicidad</t>
  </si>
  <si>
    <t>Servicio de transporte privado de pasajeros o transporte público o privado de carga</t>
  </si>
  <si>
    <t>Transferencia de bienes muebles de naturaleza corporal</t>
  </si>
  <si>
    <t>312A</t>
  </si>
  <si>
    <t>Compra de bienes de origen agrícola, avícola, pecuario, apícola, cunícula, bioacuático, y forestal</t>
  </si>
  <si>
    <t>314A</t>
  </si>
  <si>
    <t>Regalías por concepto de franquicias de acuerdo a Ley de Propiedad Intelectual - pago a personas naturales</t>
  </si>
  <si>
    <t>314B</t>
  </si>
  <si>
    <t>Cánones, derechos de autor,  marcas, patentes y similares de acuerdo a Ley de Propiedad Intelectual – pago a personas naturales</t>
  </si>
  <si>
    <t>314C</t>
  </si>
  <si>
    <t>Regalías por concepto de franquicias de acuerdo a Ley de Propiedad Intelectual  - pago a sociedades</t>
  </si>
  <si>
    <t>314D</t>
  </si>
  <si>
    <t>Cánones, derechos de autor,  marcas, patentes y similares de acuerdo a Ley de Propiedad Intelectual – pago a sociedades</t>
  </si>
  <si>
    <t>Seguros y reaseguros (primas y cesiones)</t>
  </si>
  <si>
    <t>Por rendimientos financieros pagados a naturales y sociedades  (No a IFIs)</t>
  </si>
  <si>
    <t>323A</t>
  </si>
  <si>
    <t>Por RF: depósitos Cta. Corriente</t>
  </si>
  <si>
    <t>323B1</t>
  </si>
  <si>
    <t>Por RF:  depósitos Cta. Ahorros Sociedades</t>
  </si>
  <si>
    <t>323E</t>
  </si>
  <si>
    <t>Por RF: depósito a plazo fijo  gravados</t>
  </si>
  <si>
    <t>323E2</t>
  </si>
  <si>
    <t>Por RF: depósito a plazo fijo exentos</t>
  </si>
  <si>
    <t>323F</t>
  </si>
  <si>
    <t>Por rendimientos financieros: operaciones de reporto - repos</t>
  </si>
  <si>
    <t>323G</t>
  </si>
  <si>
    <t>Por RF: inversiones (captaciones) rendimientos distintos de aquellos pagados a IFIs</t>
  </si>
  <si>
    <t>323H</t>
  </si>
  <si>
    <t>Por RF: obligaciones</t>
  </si>
  <si>
    <t>323I</t>
  </si>
  <si>
    <t>Por RF: bonos convertible en acciones</t>
  </si>
  <si>
    <t>323M</t>
  </si>
  <si>
    <t xml:space="preserve">Por RF: Inversiones en títulos valores en renta fija gravados </t>
  </si>
  <si>
    <t>323N</t>
  </si>
  <si>
    <t>Por RF: Inversiones en títulos valores en renta fija exentos</t>
  </si>
  <si>
    <t>323O</t>
  </si>
  <si>
    <t>Por RF: Intereses pagados a bancos y otras entidades sometidas al control de la Superintendencia de Bancos y de la Economía Popular y Solidaria</t>
  </si>
  <si>
    <t>323P</t>
  </si>
  <si>
    <t>Por RF: Intereses pagados por entidades del sector público a favor de sujetos pasivos</t>
  </si>
  <si>
    <t>323Q</t>
  </si>
  <si>
    <t xml:space="preserve">Por RF: Otros intereses y rendimientos financieros gravados </t>
  </si>
  <si>
    <t>323R</t>
  </si>
  <si>
    <t>Por RF: Otros intereses y rendimientos financieros exentos</t>
  </si>
  <si>
    <t>324A</t>
  </si>
  <si>
    <t xml:space="preserve">Por RF: Intereses en operaciones de crédito entre instituciones del sistema financiero y entidades economía popular y solidaria. </t>
  </si>
  <si>
    <t>324B</t>
  </si>
  <si>
    <t xml:space="preserve">Por RF: Por inversiones entre instituciones del sistema financiero y entidades economía popular y solidaria. </t>
  </si>
  <si>
    <t>Anticipo dividendos</t>
  </si>
  <si>
    <t>325A</t>
  </si>
  <si>
    <t>Dividendos anticipados préstamos accionistas, beneficiarios o partìcipes</t>
  </si>
  <si>
    <t>Dividendos distribuidos a sociedades residentes</t>
  </si>
  <si>
    <t>dividendos distribuidos a fideicomisos residentes</t>
  </si>
  <si>
    <t>Dividendos gravados distribuidos en acciones (reinversión de utilidades sin derecho a reducción tarifa IR)</t>
  </si>
  <si>
    <t>Otras compras de bienes y servicios no sujetas a retención</t>
  </si>
  <si>
    <t>332B</t>
  </si>
  <si>
    <t>Compra de bienes inmuebles</t>
  </si>
  <si>
    <t>332C</t>
  </si>
  <si>
    <t>Transporte público de pasajeros</t>
  </si>
  <si>
    <t>332D</t>
  </si>
  <si>
    <t>Pagos en el país por transporte de pasajeros o transporte internacional de carga, a compañías nacionales o extranjeras de aviación o marítimas</t>
  </si>
  <si>
    <t>332E</t>
  </si>
  <si>
    <t>Valores entregados por las cooperativas de transporte a sus socios</t>
  </si>
  <si>
    <t>332F</t>
  </si>
  <si>
    <t>Compraventa de divisas distintas al dólar de los Estados Unidos de América</t>
  </si>
  <si>
    <t>332G</t>
  </si>
  <si>
    <t xml:space="preserve">Pagos con tarjeta de crédito </t>
  </si>
  <si>
    <t>332H</t>
  </si>
  <si>
    <t>Pago al exterior tarjeta de crédito reportada por la Emisora de tarjeta de crédito, solo recap</t>
  </si>
  <si>
    <t>332I</t>
  </si>
  <si>
    <t>Pago a través de convenio de debito (Clientes IFI`s)</t>
  </si>
  <si>
    <t>Liquidación impuesto único a la venta local de banano de producción propia</t>
  </si>
  <si>
    <t>Impuesto único a la exportación de banano de producción propia - componente 1</t>
  </si>
  <si>
    <t>Impuesto único a la exportación de banano de producción propia - componente 2</t>
  </si>
  <si>
    <t>Impuesto único a la exportación de banano producido por terceros</t>
  </si>
  <si>
    <t>343A</t>
  </si>
  <si>
    <t>Por energía eléctrica</t>
  </si>
  <si>
    <t>343B</t>
  </si>
  <si>
    <t>Por actividades de construcción de obra material inmueble, urbanización, lotización o actividades similares</t>
  </si>
  <si>
    <t>Otras retenciones aplicables el 2%</t>
  </si>
  <si>
    <t>344A</t>
  </si>
  <si>
    <t>Pago local tarjeta de crédito reportada por la Emisora de tarjeta de crédito, solo recap</t>
  </si>
  <si>
    <t>346A</t>
  </si>
  <si>
    <t>Pago al exterior - Rentas Inmobiliarias</t>
  </si>
  <si>
    <t>Pago al exterior - Beneficios Empresariales</t>
  </si>
  <si>
    <t>Pago al exterior - Navegación Marítima y/o aérea</t>
  </si>
  <si>
    <t>Pago al exterior- Dividendos distribuidos a personas naturales</t>
  </si>
  <si>
    <t>504A</t>
  </si>
  <si>
    <t>Pago al exterior - Dividendos a sociedades</t>
  </si>
  <si>
    <t>504B</t>
  </si>
  <si>
    <t>504C</t>
  </si>
  <si>
    <t>504D</t>
  </si>
  <si>
    <t>504E</t>
  </si>
  <si>
    <t>504F</t>
  </si>
  <si>
    <t>504G</t>
  </si>
  <si>
    <t>504H</t>
  </si>
  <si>
    <t>Pago al exterior - Rendimientos financieros</t>
  </si>
  <si>
    <t>505A</t>
  </si>
  <si>
    <t>Pago al exterior – Intereses de créditos de Instituciones Financieras del exterior</t>
  </si>
  <si>
    <t>505B</t>
  </si>
  <si>
    <t>Pago al exterior – Intereses de créditos de gobierno a gobierno</t>
  </si>
  <si>
    <t>505C</t>
  </si>
  <si>
    <t>Pago al exterior – Intereses de créditos de organismos multilaterales</t>
  </si>
  <si>
    <t>505D</t>
  </si>
  <si>
    <t>Pago al exterior - Intereses por financiamiento de proveedores externos</t>
  </si>
  <si>
    <t>505E</t>
  </si>
  <si>
    <t>Pago al exterior - Intereses de otros créditos externos</t>
  </si>
  <si>
    <t>505F</t>
  </si>
  <si>
    <t>Pago al exterior - Otros Intereses y Rendimientos Financieros</t>
  </si>
  <si>
    <t>Pago al exterior - Cánones, derechos de autor,  marcas, patentes y similares</t>
  </si>
  <si>
    <t>509A</t>
  </si>
  <si>
    <t>Pago al exterior - Regalías por concepto de franquicias</t>
  </si>
  <si>
    <t>Pago al exterior - Ganancias de capital</t>
  </si>
  <si>
    <t>Pago al exterior - Servicios profesionales independientes</t>
  </si>
  <si>
    <t>Pago al exterior - Servicios profesionales dependientes</t>
  </si>
  <si>
    <t>Pago al exterior - Artistas</t>
  </si>
  <si>
    <t>513A</t>
  </si>
  <si>
    <t>Pago al exterior - Deportistas</t>
  </si>
  <si>
    <t>Pago al exterior - Participación de consejeros</t>
  </si>
  <si>
    <t>Pago al exterior - Entretenimiento Público</t>
  </si>
  <si>
    <t>Pago al exterior - Pensiones</t>
  </si>
  <si>
    <t>Pago al exterior - Reembolso de Gastos</t>
  </si>
  <si>
    <t>Pago al exterior - Funciones Públicas</t>
  </si>
  <si>
    <t>Pago al exterior - Estudiantes</t>
  </si>
  <si>
    <t>520A</t>
  </si>
  <si>
    <t>Pago al exterior - Pago a proveedores de servicios hoteleros y turísticos en el exterior</t>
  </si>
  <si>
    <t>520B</t>
  </si>
  <si>
    <t>Pago al exterior - Arrendamientos mercantil internacional</t>
  </si>
  <si>
    <t>520D</t>
  </si>
  <si>
    <t>Pago al exterior - Comisiones por exportaciones y por promoción de turismo receptivo</t>
  </si>
  <si>
    <t>520E</t>
  </si>
  <si>
    <t>Pago al exterior - Por las empresas de transporte marítimo o aéreo y por empresas pesqueras de alta mar, por su actividad.</t>
  </si>
  <si>
    <t>520F</t>
  </si>
  <si>
    <t>Pago al exterior - Por las agencias internacionales de prensa</t>
  </si>
  <si>
    <t>520G</t>
  </si>
  <si>
    <t>Pago al exterior - Contratos de fletamento de naves para empresas de transporte aéreo o marítimo internacional</t>
  </si>
  <si>
    <t xml:space="preserve">Pago al exterior - Enajenación de derechos representativos de capital y otros derechos </t>
  </si>
  <si>
    <t>523A</t>
  </si>
  <si>
    <t>Pago al exterior - Seguros y reaseguros (primas y cesiones)  con convenio de doble tributación</t>
  </si>
  <si>
    <t xml:space="preserve">Pago al exterior - Otros pagos al exterior no sujetos a retención </t>
  </si>
  <si>
    <t>Paises de Pagos al Exterior</t>
  </si>
  <si>
    <t>016-AMERICAN SAMOA</t>
  </si>
  <si>
    <t>074-BOUVET ISLAND</t>
  </si>
  <si>
    <t>101-ARGENTINA</t>
  </si>
  <si>
    <t>102-BOLIVIA</t>
  </si>
  <si>
    <t>103-BRASIL</t>
  </si>
  <si>
    <t>104-CANADA</t>
  </si>
  <si>
    <t>105-COLOMBIA</t>
  </si>
  <si>
    <t>106-COSTA RICA</t>
  </si>
  <si>
    <t>107-CUBA</t>
  </si>
  <si>
    <t>108-CHILE</t>
  </si>
  <si>
    <t>109-ANGUILA</t>
  </si>
  <si>
    <t>110-ESTADOS UNIDOS</t>
  </si>
  <si>
    <t>111-GUATEMALA</t>
  </si>
  <si>
    <t>112-HAITI</t>
  </si>
  <si>
    <t>113-HONDURAS</t>
  </si>
  <si>
    <t>114-JAMAICA</t>
  </si>
  <si>
    <t>115-MALVINAS  ISLAS</t>
  </si>
  <si>
    <t>116-MEXICO</t>
  </si>
  <si>
    <t>117-NICARAGUA</t>
  </si>
  <si>
    <t>118-PANAMA</t>
  </si>
  <si>
    <t>119-PARAGUAY</t>
  </si>
  <si>
    <t>120-PERU</t>
  </si>
  <si>
    <t>121-PUERTO RICO</t>
  </si>
  <si>
    <t>122-REPUBLICA DOMINICANA</t>
  </si>
  <si>
    <t>123-EL SALVADOR</t>
  </si>
  <si>
    <t>124-TRINIDAD Y TOBAGO</t>
  </si>
  <si>
    <t>125-URUGUAY</t>
  </si>
  <si>
    <t>126-VENEZUELA</t>
  </si>
  <si>
    <t>127-CURAZAO</t>
  </si>
  <si>
    <t>129-BAHAMAS</t>
  </si>
  <si>
    <t>130-BARBADOS</t>
  </si>
  <si>
    <t>131-GRANADA</t>
  </si>
  <si>
    <t>132-GUYANA</t>
  </si>
  <si>
    <t>133-SURINAM</t>
  </si>
  <si>
    <t>134-ANTIGUA Y BARBUDA</t>
  </si>
  <si>
    <t>135-BELICE</t>
  </si>
  <si>
    <t>136-DOMINICA</t>
  </si>
  <si>
    <t>137-SAN CRISTOBAL Y NEVIS</t>
  </si>
  <si>
    <t>138-SANTA LUCIA</t>
  </si>
  <si>
    <t>139-SAN VICENTE Y LAS GRANAD.</t>
  </si>
  <si>
    <t>140-ANTILLAS HOLANDESAS</t>
  </si>
  <si>
    <t>141-ARUBA</t>
  </si>
  <si>
    <t>142-BERMUDA</t>
  </si>
  <si>
    <t>143-GUADALUPE</t>
  </si>
  <si>
    <t>144-GUYANA FRANCESA</t>
  </si>
  <si>
    <t>145-ISLAS CAIMAN</t>
  </si>
  <si>
    <t>146-ISLAS VIRGENES (BRITANICAS)</t>
  </si>
  <si>
    <t>147-JOHNSTON ISLA</t>
  </si>
  <si>
    <t>148-MARTINICA</t>
  </si>
  <si>
    <t>149-MONTSERRAT ISLA</t>
  </si>
  <si>
    <t>151-TURCAS  Y CAICOS ISLAS</t>
  </si>
  <si>
    <t>152-VIRGENES,ISLAS(NORT.AMER.)</t>
  </si>
  <si>
    <t>201-ALBANIA</t>
  </si>
  <si>
    <t>202-ALEMANIA</t>
  </si>
  <si>
    <t>203-AUSTRIA</t>
  </si>
  <si>
    <t>204-BELGICA</t>
  </si>
  <si>
    <t>205-BULGARIA</t>
  </si>
  <si>
    <t>207-ALBORAN Y PEREJIL</t>
  </si>
  <si>
    <t>208-DINAMARCA</t>
  </si>
  <si>
    <t>209-ESPAÑA</t>
  </si>
  <si>
    <t>211-FRANCIA</t>
  </si>
  <si>
    <t>212-FINLANDIA</t>
  </si>
  <si>
    <t>213-REINO UNIDO</t>
  </si>
  <si>
    <t>214-GRECIA</t>
  </si>
  <si>
    <t>215-PAISES BAJOS (HOLANDA)</t>
  </si>
  <si>
    <t>216-HUNGRIA</t>
  </si>
  <si>
    <t>217-IRLANDA</t>
  </si>
  <si>
    <t>218-ISLANDIA</t>
  </si>
  <si>
    <t>219-ITALIA</t>
  </si>
  <si>
    <t>220-LUXEMBURGO</t>
  </si>
  <si>
    <t>221-MALTA</t>
  </si>
  <si>
    <t>222-NORUEGA</t>
  </si>
  <si>
    <t>223-POLONIA</t>
  </si>
  <si>
    <t>224-PORTUGAL</t>
  </si>
  <si>
    <t>225-RUMANIA</t>
  </si>
  <si>
    <t>226-SUECIA</t>
  </si>
  <si>
    <t>227-SUIZA</t>
  </si>
  <si>
    <t>228-CANARIAS  ISLAS</t>
  </si>
  <si>
    <t>229-UCRANIA</t>
  </si>
  <si>
    <t>230-RUSIA</t>
  </si>
  <si>
    <t>231-YUGOSLAVIA</t>
  </si>
  <si>
    <t>233-ANDORRA</t>
  </si>
  <si>
    <t>234-LIECHTENSTEIN</t>
  </si>
  <si>
    <t>235-MONACO</t>
  </si>
  <si>
    <t>237-SAN MARINO</t>
  </si>
  <si>
    <t>238-VATICANO (SANTA SEDE)</t>
  </si>
  <si>
    <t>239-GIBRALTAR</t>
  </si>
  <si>
    <t>241-BELARUS</t>
  </si>
  <si>
    <t>242-BOSNIA Y HERZEGOVINA</t>
  </si>
  <si>
    <t>243-CROACIA</t>
  </si>
  <si>
    <t>244-ESLOVENIA</t>
  </si>
  <si>
    <t>245-ESTONIA</t>
  </si>
  <si>
    <t>246-GEORGIA</t>
  </si>
  <si>
    <t>247-GROENLANDIA</t>
  </si>
  <si>
    <t>248-LETONIA</t>
  </si>
  <si>
    <t>249-LITUANIA</t>
  </si>
  <si>
    <t>250-MOLDOVA</t>
  </si>
  <si>
    <t>251-MACEDONIA</t>
  </si>
  <si>
    <t>252-ESLOVAQUIA</t>
  </si>
  <si>
    <t>253-ISLAS FAROE</t>
  </si>
  <si>
    <t>260-FRENCH SOUTHERN TERRITORIES</t>
  </si>
  <si>
    <t>301-AFGANISTAN</t>
  </si>
  <si>
    <t>302-ARABIA SAUDITA</t>
  </si>
  <si>
    <t>303-MYANMAR (BURMA)</t>
  </si>
  <si>
    <t>304-CAMBOYA</t>
  </si>
  <si>
    <t>306-COREA NORTE</t>
  </si>
  <si>
    <t>307-TAIWAN (CHINA)</t>
  </si>
  <si>
    <t>308-FILIPINAS</t>
  </si>
  <si>
    <t>309-INDIA</t>
  </si>
  <si>
    <t>310-INDONESIA</t>
  </si>
  <si>
    <t>311-IRAK</t>
  </si>
  <si>
    <t>312-IRAN (REPUBLICA ISLAMICA)</t>
  </si>
  <si>
    <t>313-ISRAEL</t>
  </si>
  <si>
    <t>314-JAPON</t>
  </si>
  <si>
    <t>315-JORDANIA</t>
  </si>
  <si>
    <t>316-KUWAIT</t>
  </si>
  <si>
    <t>317-LAOS, REP. POP. DEMOC.</t>
  </si>
  <si>
    <t>318-LIBANO</t>
  </si>
  <si>
    <t>319-MALASIA</t>
  </si>
  <si>
    <t>321-MONGOLIA (MANCHURIA)</t>
  </si>
  <si>
    <t>322-PAKISTAN</t>
  </si>
  <si>
    <t>323-SIRIA</t>
  </si>
  <si>
    <t>325-TAILANDIA</t>
  </si>
  <si>
    <t>327-BAHREIN</t>
  </si>
  <si>
    <t>328-BANGLADESH</t>
  </si>
  <si>
    <t>329-BUTAN</t>
  </si>
  <si>
    <t>330-COREA DEL SUR</t>
  </si>
  <si>
    <t>331-CHINA POPULAR</t>
  </si>
  <si>
    <t>332-CHIPRE</t>
  </si>
  <si>
    <t>333-EMIRATOS ARABES UNIDOS</t>
  </si>
  <si>
    <t>334-QATAR</t>
  </si>
  <si>
    <t>335-MALDIVAS</t>
  </si>
  <si>
    <t>336-NEPAL</t>
  </si>
  <si>
    <t>337-OMAN</t>
  </si>
  <si>
    <t>338-SINGAPUR</t>
  </si>
  <si>
    <t>339-SRI LANKA (CEILAN)</t>
  </si>
  <si>
    <t>341-VIETNAM</t>
  </si>
  <si>
    <t>342-YEMEN</t>
  </si>
  <si>
    <t>343-ISLAS HEARD Y MCDONALD</t>
  </si>
  <si>
    <t>344-BRUNEI DARUSSALAM</t>
  </si>
  <si>
    <t>346-TURQUIA</t>
  </si>
  <si>
    <t>347-AZERBAIJAN</t>
  </si>
  <si>
    <t>348-KAZAJSTAN</t>
  </si>
  <si>
    <t>349-KIRGUIZISTAN</t>
  </si>
  <si>
    <t>350-TAJIKISTAN</t>
  </si>
  <si>
    <t>351-TURKMENISTAN</t>
  </si>
  <si>
    <t>352-UZBEKISTAN</t>
  </si>
  <si>
    <t>353-PALESTINA</t>
  </si>
  <si>
    <t>354-HONG KONG</t>
  </si>
  <si>
    <t>355-MACAO</t>
  </si>
  <si>
    <t>356-ARMENIA</t>
  </si>
  <si>
    <t>382-MONTENEGRO</t>
  </si>
  <si>
    <t>402-BURKINA FASO</t>
  </si>
  <si>
    <t>403-ARGELIA</t>
  </si>
  <si>
    <t>404-BURUNDI</t>
  </si>
  <si>
    <t>405-CAMERUN</t>
  </si>
  <si>
    <t>406-CONGO</t>
  </si>
  <si>
    <t>407-ETIOPIA</t>
  </si>
  <si>
    <t>408-GAMBIA</t>
  </si>
  <si>
    <t>409-GUINEA</t>
  </si>
  <si>
    <t>410-LIBERIA</t>
  </si>
  <si>
    <t>412-MADAGASCAR</t>
  </si>
  <si>
    <t>413-MALAWI</t>
  </si>
  <si>
    <t>414-MALI</t>
  </si>
  <si>
    <t>415-MARRUECOS</t>
  </si>
  <si>
    <t>416-MAURITANIA</t>
  </si>
  <si>
    <t>417-NIGERIA</t>
  </si>
  <si>
    <t>419-ZIMBABWE (RHODESIA)</t>
  </si>
  <si>
    <t>420-SENEGAL</t>
  </si>
  <si>
    <t>421-SUDAN</t>
  </si>
  <si>
    <t>422-SUDAFRICA  (CISKEI)</t>
  </si>
  <si>
    <t>423-SIERRA LEONA</t>
  </si>
  <si>
    <t>425-TANZANIA</t>
  </si>
  <si>
    <t>426-UGANDA</t>
  </si>
  <si>
    <t>427-ZAMBIA</t>
  </si>
  <si>
    <t>428-ÅLAND ISLANDS</t>
  </si>
  <si>
    <t>429-BENIN</t>
  </si>
  <si>
    <t>430-BOTSWANA</t>
  </si>
  <si>
    <t>431-REPUBLICA CENTROAFRICANA</t>
  </si>
  <si>
    <t>432-COSTA DE MARFIL</t>
  </si>
  <si>
    <t>433-CHAD</t>
  </si>
  <si>
    <t>434-EGIPTO</t>
  </si>
  <si>
    <t>435-GABON</t>
  </si>
  <si>
    <t>436-GHANA</t>
  </si>
  <si>
    <t>437-GUINEA-BISSAU</t>
  </si>
  <si>
    <t>438-GUINEA ECUATORIAL</t>
  </si>
  <si>
    <t>439-KENIA</t>
  </si>
  <si>
    <t>440-LESOTHO</t>
  </si>
  <si>
    <t>441-MAURICIO</t>
  </si>
  <si>
    <t>442-MOZAMBIQUE</t>
  </si>
  <si>
    <t>443-MAYOTTE</t>
  </si>
  <si>
    <t>444-NIGER</t>
  </si>
  <si>
    <t>445-RWANDA</t>
  </si>
  <si>
    <t>446-SEYCHELLES</t>
  </si>
  <si>
    <t>447-SAHARA OCCIDENTAL</t>
  </si>
  <si>
    <t>448-SOMALIA</t>
  </si>
  <si>
    <t>449-SANTO TOME Y PRINCIPE</t>
  </si>
  <si>
    <t>450-SWAZILANDIA</t>
  </si>
  <si>
    <t>451-TOGO</t>
  </si>
  <si>
    <t>452-TUNEZ</t>
  </si>
  <si>
    <t>453-ZAIRE</t>
  </si>
  <si>
    <t>454-ANGOLA</t>
  </si>
  <si>
    <t>456-CABO VERDE</t>
  </si>
  <si>
    <t>458-COMORAS</t>
  </si>
  <si>
    <t>459-DJIBOUTI</t>
  </si>
  <si>
    <t>460-NAMIBIA</t>
  </si>
  <si>
    <t>463-ERITREA</t>
  </si>
  <si>
    <t>464-MOROCCO</t>
  </si>
  <si>
    <t>465-REUNION</t>
  </si>
  <si>
    <t>466-SANTA ELENA</t>
  </si>
  <si>
    <t>499-JERSEY</t>
  </si>
  <si>
    <t>501-AUSTRALIA</t>
  </si>
  <si>
    <t>503-NUEVA ZELANDA</t>
  </si>
  <si>
    <t>504-SAMOA OCCIDENTAL</t>
  </si>
  <si>
    <t>506-FIJI</t>
  </si>
  <si>
    <t>507-PAPUA NUEVA GUINEA</t>
  </si>
  <si>
    <t>508-TONGA</t>
  </si>
  <si>
    <t>509-PALAO  (BELAU)  ISLAS</t>
  </si>
  <si>
    <t>510-KIRIBATI</t>
  </si>
  <si>
    <t>511-MARSHALL ISLAS</t>
  </si>
  <si>
    <t>512-MICRONESIA</t>
  </si>
  <si>
    <t>513-NAURU</t>
  </si>
  <si>
    <t>514-SALOMON  ISLAS</t>
  </si>
  <si>
    <t>515-TUVALU</t>
  </si>
  <si>
    <t>516-VANUATU</t>
  </si>
  <si>
    <t>517-GUAM</t>
  </si>
  <si>
    <t>518-ISLAS COCOS (KEELING)</t>
  </si>
  <si>
    <t>519-ISLAS COOK</t>
  </si>
  <si>
    <t>520-ISLAS NAVIDAD</t>
  </si>
  <si>
    <t>521-MIDWAY ISLAS</t>
  </si>
  <si>
    <t>522-NIUE ISLA</t>
  </si>
  <si>
    <t>523-NORFOLK ISLA</t>
  </si>
  <si>
    <t>524-NUEVA  CALEDONIA</t>
  </si>
  <si>
    <t>525-PITCAIRN, ISLA</t>
  </si>
  <si>
    <t>526-POLINESIA FRANCESA</t>
  </si>
  <si>
    <t>529-TIMOR DEL ESTE</t>
  </si>
  <si>
    <t>530-TOKELAI</t>
  </si>
  <si>
    <t>531-WAKE ISLA</t>
  </si>
  <si>
    <t>532-WALLIS Y FUTUNA, ISLAS</t>
  </si>
  <si>
    <t>590-SAINT BARTHELEMY</t>
  </si>
  <si>
    <t>593-ECUADOR</t>
  </si>
  <si>
    <t>594-AGUAS INTERNACIONALES</t>
  </si>
  <si>
    <t>595-ALTO VOLTA</t>
  </si>
  <si>
    <t>596-BIELORRUSIA</t>
  </si>
  <si>
    <t>597-COTE DÍVOIRE</t>
  </si>
  <si>
    <t>598-CYPRUS</t>
  </si>
  <si>
    <t>599-REPUBLICA CHECA</t>
  </si>
  <si>
    <t>600-FALKLAND ISLANDS</t>
  </si>
  <si>
    <t>601-LATVIA</t>
  </si>
  <si>
    <t>602-LIBIA</t>
  </si>
  <si>
    <t>603-NORTHERN MARIANA ISL</t>
  </si>
  <si>
    <t>604-ST. PIERRE AND MIQUE</t>
  </si>
  <si>
    <t>605-SYRIAN ARAB REPUBLIC</t>
  </si>
  <si>
    <t>606-TERRITORIO ANTARTICO BRITANICO</t>
  </si>
  <si>
    <t>607-TERRITORIO BRITANICO OCEANO IN</t>
  </si>
  <si>
    <t>688-SERBIA</t>
  </si>
  <si>
    <t>831-GUERNSEY</t>
  </si>
  <si>
    <t>833-ISLE OF MAN</t>
  </si>
  <si>
    <t>Paises de Pagos en Paraisos Fiscales</t>
  </si>
  <si>
    <t>001-ANGUILA (Territorio no autónomo del Reino Unido)</t>
  </si>
  <si>
    <t>002-ANTIGUA Y BARBUDA (Estado independiente)</t>
  </si>
  <si>
    <t>003-ARCHIPIÉLAGO DE SVALBARD</t>
  </si>
  <si>
    <t>004-ARUBA</t>
  </si>
  <si>
    <t>005-BARBADOS (Estado independiente)</t>
  </si>
  <si>
    <t>006-BELICE (Estado independiente)</t>
  </si>
  <si>
    <t>007-BERMUDAS (Territorio no autónomo del Reino Unido)</t>
  </si>
  <si>
    <t>008-BONAIRE, SABA Y SAN EUSTAQUIO</t>
  </si>
  <si>
    <t>009-BRUNEI DARUSSALAM (Estado independiente)</t>
  </si>
  <si>
    <t>010-CAMPIONE D'ITALIA (Comune di Campioned'Italia)</t>
  </si>
  <si>
    <t>011-COLONIA DE GIBRALTAR</t>
  </si>
  <si>
    <t>012-COMUNIDAD DE LAS BAHAMAS (Estado independiente)</t>
  </si>
  <si>
    <t>013-CURAZAO</t>
  </si>
  <si>
    <t>014-ESTADO ASOCIADO DE GRANADA (Estado independiente)</t>
  </si>
  <si>
    <t>015-ESTADO DE BAHREIN (Estado independiente)</t>
  </si>
  <si>
    <t>016-ESTADO DE KUWAIT (Estado independiente)</t>
  </si>
  <si>
    <t>017-ESTADO LIBRE ASOCIADO DE PUERTO RICO (Estado asociado a los EEUU)</t>
  </si>
  <si>
    <t>018-EMIRATOS ÁRABES UNIDOS (Estado independiente)</t>
  </si>
  <si>
    <t>019-FEDERACIÓN DE SAN CRISTÓBAL (Islas Saint Kitts and Nevis: independientes)</t>
  </si>
  <si>
    <t>020-GRAN DUCADO DE LUXEMBURGO</t>
  </si>
  <si>
    <t>021-GROENLANDIA</t>
  </si>
  <si>
    <t>022-GUAM (Territorio no autónomo de los EEUU)</t>
  </si>
  <si>
    <t>023-ISLA DE ASCENSIÓN</t>
  </si>
  <si>
    <t>024-ISLAS AZORES</t>
  </si>
  <si>
    <t>025-ISLAS CAIMÁN (Territorio no autónomo del Reino Unido)</t>
  </si>
  <si>
    <t>026-ISLAS CHRISTMAS</t>
  </si>
  <si>
    <t>027-ISLA DE COCOS O KEELING</t>
  </si>
  <si>
    <t>028-ISLA DE COOK (Territorio autónomo asociado a Nueva Zelanda)</t>
  </si>
  <si>
    <t>029-ISLA DE MAN (Territorio del Reino Unido)</t>
  </si>
  <si>
    <t>030-ISLA DE NORFOLK</t>
  </si>
  <si>
    <t>031-ISLA DE SAN PEDRO Y MIGUELÓN</t>
  </si>
  <si>
    <t>032-ISLAS DEL CANAL (Guernesey, Alderney, Isla de Great Stark, Herm, Little Sark, Brechou, Jethou, Lihou)</t>
  </si>
  <si>
    <t>088-ISLAS DEL CANAL (Jersey)</t>
  </si>
  <si>
    <t>033-ISLA QESHM</t>
  </si>
  <si>
    <t>034-ISLAS SALOMÓN</t>
  </si>
  <si>
    <t>035-ISLAS TURKAS E ISLAS CAICOS (Territorio no autónomo del Reino Unido)</t>
  </si>
  <si>
    <t>036-ISLAS VÍRGENES BRITÁNICAS (Territorio no autónomo del Reino Unido)</t>
  </si>
  <si>
    <t>037-ISLAS VÍRGENES DE ESTADOS UNIDOS DE AMÉRICA</t>
  </si>
  <si>
    <t>038-KIRIBATI</t>
  </si>
  <si>
    <t>039-LABUAN</t>
  </si>
  <si>
    <t>040-MACAO</t>
  </si>
  <si>
    <t>041-MADEIRA (Territorio de Portugal)</t>
  </si>
  <si>
    <t>042-MANCOMUNIDAD DE DOMINICA (Estado asociado)</t>
  </si>
  <si>
    <t>043-MONTSERRAT (Territorio no autónomo del Reino Unido)</t>
  </si>
  <si>
    <t>044-MYANMAR (ex Birmania)</t>
  </si>
  <si>
    <t>045-NIGERIA</t>
  </si>
  <si>
    <t>046-NIUE</t>
  </si>
  <si>
    <t>047-PALAU</t>
  </si>
  <si>
    <t>048-PITCAIRN</t>
  </si>
  <si>
    <t>049-POLINESIA FRANCESA (Territorio de Ultramar de Francia)</t>
  </si>
  <si>
    <t>050-PRINCIPADO DE LIECHTENSTEIN (Estado independiente)</t>
  </si>
  <si>
    <t>051-PRINCIPADO DE MÓNACO</t>
  </si>
  <si>
    <t>052-PRINCIPADO DEL VALLE DE ANDORRA</t>
  </si>
  <si>
    <t>053-REINO DE SWAZILANDIA (Estado independiente)</t>
  </si>
  <si>
    <t>054-REINO DE TONGA (Estado independiente)</t>
  </si>
  <si>
    <t>055-REINO HACHEMITA DE JORDANIA</t>
  </si>
  <si>
    <t>056-REPÚBLICA COOPERATIVA DE GUYANA (Estado independiente)</t>
  </si>
  <si>
    <t>057-REPÚBLICA DE ALBANIA</t>
  </si>
  <si>
    <t>058-REPÚBLICA DE ANGOLA</t>
  </si>
  <si>
    <t>059-REPÚBLICA DE CABO VERDE (Estado independiente)</t>
  </si>
  <si>
    <t>060-REPÚBLICA DE CHIPRE</t>
  </si>
  <si>
    <t>061-REPÚBLICA DE DJIBOUTI (Estado independiente)</t>
  </si>
  <si>
    <t>062-REPÚBLICA DE LAS ISLAS MARSHALL (Estado independiente)</t>
  </si>
  <si>
    <t>063-REPÚBLICA DE LIBERIA (Estado independiente)</t>
  </si>
  <si>
    <t>064-REPÚBLICA DE MALDIVAS (Estado independiente)</t>
  </si>
  <si>
    <t>065-REPÚBLICA DE MALTA (Estado independiente)</t>
  </si>
  <si>
    <t>066-REPÚBLICA DE MAURICIO</t>
  </si>
  <si>
    <t>067-REPÚBLICA DE NAURU (Estado independiente)</t>
  </si>
  <si>
    <t>068-REPÚBLICA DE PANAMÁ (Estado independiente)</t>
  </si>
  <si>
    <t>069-REPÚBLICA DE SEYCHELLES (Estado independiente)</t>
  </si>
  <si>
    <t>070-REPÚBLICA DE TRINIDAD Y TOBAGO</t>
  </si>
  <si>
    <t>071-REPÚBLICA DE TÚNEZ</t>
  </si>
  <si>
    <t>072-REPÚBLICA DE VANUATU</t>
  </si>
  <si>
    <t>073-REPÚBLICA DEL YEMEN</t>
  </si>
  <si>
    <t>074-REPÚBLICA DEMOCRÁTICA SOCIALISTA DE SRI LANKA</t>
  </si>
  <si>
    <t>075-SAMOA AMERICANA (Territorio no autónomo de los EEUU)</t>
  </si>
  <si>
    <t>076-SAMOA OCCIDENTAL</t>
  </si>
  <si>
    <t>077-SAN VICENTE Y LAS GRANADINAS (Estado independiente)</t>
  </si>
  <si>
    <t>078-SANTA ELENA</t>
  </si>
  <si>
    <t>079-SANTA LUCÍA</t>
  </si>
  <si>
    <t>080-SAN MARTÍN</t>
  </si>
  <si>
    <t>534-SINT MAARTEN (DUTCH PART)</t>
  </si>
  <si>
    <t>081-SERENÍSIMA REPÚBLICA DE SAN MARINO (Estado independiente)</t>
  </si>
  <si>
    <t>082-SULTANADO DE OMAN</t>
  </si>
  <si>
    <t>083-TOKELAU</t>
  </si>
  <si>
    <t>084-TRISTAN DA CUNHA (SH Saint Helena)</t>
  </si>
  <si>
    <t>085-TUVALU</t>
  </si>
  <si>
    <t>086-ZONA LIBRE DE OSTRAVA</t>
  </si>
  <si>
    <t>Paises para Exportaciones</t>
  </si>
  <si>
    <t>Codigos de Regimen</t>
  </si>
  <si>
    <t>40-Exportación definitiva</t>
  </si>
  <si>
    <t>50-Exportación temporal para reimportación en el mismo estado</t>
  </si>
  <si>
    <t>51-Exportación temporal para perfeccionamiento pasivo</t>
  </si>
  <si>
    <t>60-Reexp. de mercancías en el mismo estado</t>
  </si>
  <si>
    <t>61-Reexportación de mercancías que fueron importadas para perfeccionamiento activo</t>
  </si>
  <si>
    <t>79-Exportación a consumo desde Zona Franca</t>
  </si>
  <si>
    <t>83-Reembarque</t>
  </si>
  <si>
    <t>94-Courier exportación</t>
  </si>
  <si>
    <t>95-Exportaciones Correos del Ecuador</t>
  </si>
  <si>
    <t>Tipos de Exportaciones</t>
  </si>
  <si>
    <t>01-Exportación de bienes con Refrendo</t>
  </si>
  <si>
    <t>02-Exportación de bienes sin Refrendo</t>
  </si>
  <si>
    <t>03-Exportaciones de servicios</t>
  </si>
  <si>
    <t>Distritos Aduaneros</t>
  </si>
  <si>
    <t>019-GQUIL-AÉREO</t>
  </si>
  <si>
    <t>028-GQUIL-MARÍTIMO</t>
  </si>
  <si>
    <t>037-MANTA</t>
  </si>
  <si>
    <t>046-ESMERALDAS</t>
  </si>
  <si>
    <t>055-QUITO</t>
  </si>
  <si>
    <t>064-PTO-BOLÍVAR</t>
  </si>
  <si>
    <t>073-TULCÁN</t>
  </si>
  <si>
    <t>082-HUAQUILLAS</t>
  </si>
  <si>
    <t>091-CUENCA</t>
  </si>
  <si>
    <t>109-LOJA-MACARA</t>
  </si>
  <si>
    <t>118-STA ELENA</t>
  </si>
  <si>
    <t>127-LATACUNGA</t>
  </si>
  <si>
    <t>136-GERENCIA GENERAL</t>
  </si>
  <si>
    <t xml:space="preserve">145-CEBAF – SAN MIGUEL </t>
  </si>
  <si>
    <t>01</t>
  </si>
  <si>
    <t>02</t>
  </si>
  <si>
    <t>03</t>
  </si>
  <si>
    <t>04</t>
  </si>
  <si>
    <t>05</t>
  </si>
  <si>
    <t>19</t>
  </si>
  <si>
    <t>20</t>
  </si>
  <si>
    <t>21</t>
  </si>
  <si>
    <t>08</t>
  </si>
  <si>
    <t>09</t>
  </si>
  <si>
    <t>11</t>
  </si>
  <si>
    <t>12</t>
  </si>
  <si>
    <t>15</t>
  </si>
  <si>
    <t>16</t>
  </si>
  <si>
    <t>18</t>
  </si>
  <si>
    <t>22</t>
  </si>
  <si>
    <t>23</t>
  </si>
  <si>
    <t>24</t>
  </si>
  <si>
    <t>41</t>
  </si>
  <si>
    <t>42</t>
  </si>
  <si>
    <t>43</t>
  </si>
  <si>
    <t>44</t>
  </si>
  <si>
    <t>45</t>
  </si>
  <si>
    <t>47</t>
  </si>
  <si>
    <t>48</t>
  </si>
  <si>
    <t>49</t>
  </si>
  <si>
    <t>50</t>
  </si>
  <si>
    <t>51</t>
  </si>
  <si>
    <t>52</t>
  </si>
  <si>
    <t>Tipos de Ingresos del Exterior</t>
  </si>
  <si>
    <t>401- Rentas Inmobiliarias</t>
  </si>
  <si>
    <t>402- Beneficios  y servicios Empresariales  / Asistencia técnica</t>
  </si>
  <si>
    <t>403- Beneficios  y servicios Empresariales  / Comisiones</t>
  </si>
  <si>
    <t>404- Beneficios  y servicios Empresariales / Comisiones sobre préstamos</t>
  </si>
  <si>
    <t>405- Beneficios  y servicios Empresariales/Honorarios</t>
  </si>
  <si>
    <t>406- Beneficios  y servicios Empresariales / Publicidad</t>
  </si>
  <si>
    <t>407- Beneficios  y servicios Empresariales / Servicios administrativos</t>
  </si>
  <si>
    <t>408- Beneficios  y servicios Empresariales / Servicios financieros</t>
  </si>
  <si>
    <t>409- Beneficios  y servicios Empresariales /Servicios intermedios de la producción (maquila)</t>
  </si>
  <si>
    <t>410- Beneficios  y servicios Empresariales /Servicios técnicos</t>
  </si>
  <si>
    <t>411- Navegación Marítima y/o aérea</t>
  </si>
  <si>
    <t>412-Dividendos</t>
  </si>
  <si>
    <t>413-Rendimientos financieros / Comisiones sobre préstamos</t>
  </si>
  <si>
    <t>414-Rendimientos financieros / Otras inversiones</t>
  </si>
  <si>
    <t>415-Garantías</t>
  </si>
  <si>
    <t>416- Servicios profesionales independientes /dependientes</t>
  </si>
  <si>
    <t>417-Intereses sobre préstamos</t>
  </si>
  <si>
    <t xml:space="preserve">418-Intereses créditos en ventas </t>
  </si>
  <si>
    <t>419-Regalías /Cánones, derechos de autor,  marcas, patentes y similares</t>
  </si>
  <si>
    <t>420-Regalías / Por concepto de franquicias</t>
  </si>
  <si>
    <t xml:space="preserve">421-Seguros y reaseguros (primas y cesiones)  </t>
  </si>
  <si>
    <t>422-Utilidad o pérdida por derivados financieros</t>
  </si>
  <si>
    <t>423-Utilidad por operaciones de futuros distintas de las del sector financiero</t>
  </si>
  <si>
    <t>424-Venta de bienes intangibles</t>
  </si>
  <si>
    <t>425-Enajenación de derechos representativos de capital</t>
  </si>
  <si>
    <t>426-Enajenación de obligaciones</t>
  </si>
  <si>
    <t>427-Artistas</t>
  </si>
  <si>
    <t>428-Deportistas</t>
  </si>
  <si>
    <t>429-Participación de consejeros</t>
  </si>
  <si>
    <t>430- Entretenimiento Público</t>
  </si>
  <si>
    <t>431-Pensiones</t>
  </si>
  <si>
    <t>432-Reembolso de Gastos</t>
  </si>
  <si>
    <t>433-Funciones Públicas</t>
  </si>
  <si>
    <t>434- Estudiantes</t>
  </si>
  <si>
    <t>435-Arrendamientos mercantil internacional</t>
  </si>
  <si>
    <t>436- Contratos de fletamento de naves para empresas de transporte aéreo o marítimo internacional</t>
  </si>
  <si>
    <t xml:space="preserve">437-Seguros y reaseguros (primas y cesiones)  </t>
  </si>
  <si>
    <t>438-Otros ingresos</t>
  </si>
  <si>
    <t>439-Otros servicios</t>
  </si>
  <si>
    <t>(Opcional)</t>
  </si>
  <si>
    <t>Valores Retenidos - Codigo Ret. #3</t>
  </si>
  <si>
    <t>solo copie</t>
  </si>
  <si>
    <t>No. de Identificacion</t>
  </si>
  <si>
    <t>Tipo Identif.</t>
  </si>
  <si>
    <t>Razon Social Contribuyente</t>
  </si>
  <si>
    <t>Tipo Proveedor</t>
  </si>
  <si>
    <t>Parte Relacionada</t>
  </si>
  <si>
    <t>Comprobante</t>
  </si>
  <si>
    <t>Establecimiento</t>
  </si>
  <si>
    <t>Punto Emisión</t>
  </si>
  <si>
    <t>Numero Secuencial</t>
  </si>
  <si>
    <t>Numero Autorización S.R.I.</t>
  </si>
  <si>
    <t>Fecha de Emisión</t>
  </si>
  <si>
    <t>Comprobante Modificado</t>
  </si>
  <si>
    <t>Numero Secuencial Modificado</t>
  </si>
  <si>
    <t>Numero Autorización S.R.I. Modificado</t>
  </si>
  <si>
    <t>Concepto de la Compra</t>
  </si>
  <si>
    <t>Codigo Sustento</t>
  </si>
  <si>
    <t>Base Imponible NO Objeto de IVA</t>
  </si>
  <si>
    <t>Base Imponible EXENTA de IVA</t>
  </si>
  <si>
    <t>Base Imponible Tarifa 0%</t>
  </si>
  <si>
    <t>Base Imponible Gravable de IVA</t>
  </si>
  <si>
    <t>Tarifa de IVA aplicada</t>
  </si>
  <si>
    <t>Monto I.V.A.</t>
  </si>
  <si>
    <t>Aplica Compensacion solidaria</t>
  </si>
  <si>
    <t>Total del Documento</t>
  </si>
  <si>
    <t>Valor de Base Imponible</t>
  </si>
  <si>
    <t>Fecha de Emisión Ret.1</t>
  </si>
  <si>
    <t>Código Retención 1</t>
  </si>
  <si>
    <t>Base Imponible - Ret1</t>
  </si>
  <si>
    <t>Porcentaje Retención 1</t>
  </si>
  <si>
    <t>Valor Retenido 1</t>
  </si>
  <si>
    <t>Fecha de Pago Dividendos Ret1</t>
  </si>
  <si>
    <t>Impto. Renta Sociedades Ret.1</t>
  </si>
  <si>
    <t>Anio de utilidades generadas</t>
  </si>
  <si>
    <t>Cantidad de Cajas de Banano</t>
  </si>
  <si>
    <t>Precio de la Caja de Banano</t>
  </si>
  <si>
    <t>Código Retención 2</t>
  </si>
  <si>
    <t>Base Imponible - Ret2</t>
  </si>
  <si>
    <t>Porcentaje Retención 2</t>
  </si>
  <si>
    <t>Valor Retenido 2</t>
  </si>
  <si>
    <t>Código Retención 3</t>
  </si>
  <si>
    <t>Base Imponible - Ret3</t>
  </si>
  <si>
    <t>Porcentaje Retención 3</t>
  </si>
  <si>
    <t>Valor Retenido 3</t>
  </si>
  <si>
    <t>Valor Retención  IVA 10%</t>
  </si>
  <si>
    <t>Valor Retención  IVA 20%</t>
  </si>
  <si>
    <t>Valor Retención  IVA 30%</t>
  </si>
  <si>
    <t>Valor Retención  IVA 50%</t>
  </si>
  <si>
    <t>Valor Retención  IVA 70%</t>
  </si>
  <si>
    <t>Valor Retención  IVA 100%</t>
  </si>
  <si>
    <t>Total Retención IVA+Fte.</t>
  </si>
  <si>
    <t>Tipo de Pago</t>
  </si>
  <si>
    <t>Forma de PAGO 1</t>
  </si>
  <si>
    <t>Forma de PAGO 2</t>
  </si>
  <si>
    <t>Tipo de Regimen fiscal del Exterior</t>
  </si>
  <si>
    <t>01-Paises de residencia a quien se efectua el PAGO</t>
  </si>
  <si>
    <t>03-Denominacion del Regimen fiscal Preferente</t>
  </si>
  <si>
    <t>Pais de residencia a quien se efectua el PAGO en EXTERIOR</t>
  </si>
  <si>
    <t>Aplica Convenio Doble Tributacion</t>
  </si>
  <si>
    <t>Pago al Exterior sujeto a Retencion</t>
  </si>
  <si>
    <t>Pago al Exterior en Regimen de Menor Imposicion</t>
  </si>
  <si>
    <t>Form.104_a</t>
  </si>
  <si>
    <t>Form.104_b</t>
  </si>
  <si>
    <t>Form.104_c</t>
  </si>
  <si>
    <t>OBSERVACIONES</t>
  </si>
  <si>
    <t>validacion Identificacion</t>
  </si>
  <si>
    <t>NO</t>
  </si>
  <si>
    <t>RUC No.</t>
  </si>
  <si>
    <t>Cédula de Identidad o No. de Pasaporte</t>
  </si>
  <si>
    <t>NOMBRE :</t>
  </si>
  <si>
    <t xml:space="preserve"> FIRMA CONTADOR</t>
  </si>
  <si>
    <t xml:space="preserve"> </t>
  </si>
  <si>
    <t>FIRMA SUJETO PASIVO / REPRESENTANTE LEGAL</t>
  </si>
  <si>
    <t>DECLARO QUE LOS DATOS PROPORCIONADOS EN ESTE DOCUMENTO SON EXACTOS Y VERDADEROS, POR LO QUE ASUMO LA RESPONSABILIDAD LEGAL QUE DE ELLA SE DERIVEN (Art. 101 de la L.O.R.T.I.)</t>
  </si>
  <si>
    <t>USD</t>
  </si>
  <si>
    <t xml:space="preserve">Res.No. </t>
  </si>
  <si>
    <t>N/C No</t>
  </si>
  <si>
    <t>TITULOS DEL BANCO CENTRAL</t>
  </si>
  <si>
    <t>DETALLE DE COMPENSACIONES</t>
  </si>
  <si>
    <t>DETALLE NOTAS DE CRÉDITO DESMATERIALIZADAS</t>
  </si>
  <si>
    <t>DETALLE DE NOTAS DE CRÉDITO CARTULARES</t>
  </si>
  <si>
    <t>925</t>
  </si>
  <si>
    <t>MEDIANTE TITULOS DEL BANCO CENTRAL (TBC)</t>
  </si>
  <si>
    <t>907</t>
  </si>
  <si>
    <t xml:space="preserve">MEDIANTE NOTAS DE CRÉDITO                                                     </t>
  </si>
  <si>
    <t>906</t>
  </si>
  <si>
    <t xml:space="preserve">MEDIANTE COMPENSACIONES                                                                     </t>
  </si>
  <si>
    <t>905</t>
  </si>
  <si>
    <t>MEDIANTE CHEQUE, DÉBITO BANCARIO, EFECTIVO U OTRAS FORMAS DE PAGO</t>
  </si>
  <si>
    <t>=</t>
  </si>
  <si>
    <t>TOTAL PAGADO</t>
  </si>
  <si>
    <t>+</t>
  </si>
  <si>
    <t>MULTAS</t>
  </si>
  <si>
    <t xml:space="preserve">INTERÉS POR MORA </t>
  </si>
  <si>
    <t>859-898</t>
  </si>
  <si>
    <t>TOTAL IMPUESTO A PAGAR</t>
  </si>
  <si>
    <t>VALORES A PAGAR Y FORMA DE PAGO (luego de imputación al pago en declaraciones sustitutivas)</t>
  </si>
  <si>
    <t>880</t>
  </si>
  <si>
    <t>PAGO DIRECTO EN CUENTA ÚNICA DEL TESORO NACIONAL (Uso Exclusivo para Instituciones y Empresas del Sector Público Autorizadas)</t>
  </si>
  <si>
    <t>MULTA</t>
  </si>
  <si>
    <t>IMPUESTO</t>
  </si>
  <si>
    <t>INTERES</t>
  </si>
  <si>
    <t>DETALLE DE IMPUTACIÓN AL PAGO (Para declaraciones sustitutivas)</t>
  </si>
  <si>
    <t>890</t>
  </si>
  <si>
    <t>PAGO PREVIO (Informativo)</t>
  </si>
  <si>
    <t>859</t>
  </si>
  <si>
    <t>(699+801)</t>
  </si>
  <si>
    <t>TOTAL CONSOLIDADO DE IMPUESTO AL VALOR AGREGADO</t>
  </si>
  <si>
    <t>801</t>
  </si>
  <si>
    <t>TOTAL IMPUESTO A PAGAR POR RETENCIÓN</t>
  </si>
  <si>
    <t>(-)</t>
  </si>
  <si>
    <t>800</t>
  </si>
  <si>
    <t>799</t>
  </si>
  <si>
    <t>(721+723+725+727+729+731)</t>
  </si>
  <si>
    <t>TOTAL IMPUESTO RETENIDO</t>
  </si>
  <si>
    <t>731</t>
  </si>
  <si>
    <t>729</t>
  </si>
  <si>
    <t>727</t>
  </si>
  <si>
    <t>725</t>
  </si>
  <si>
    <t>723</t>
  </si>
  <si>
    <t>721</t>
  </si>
  <si>
    <t>AGENTE DE RETENCIÓN DEL IMPUESTO AL VALOR AGREGADO</t>
  </si>
  <si>
    <t>699</t>
  </si>
  <si>
    <t>(620 + 621)</t>
  </si>
  <si>
    <t>621</t>
  </si>
  <si>
    <t>620</t>
  </si>
  <si>
    <t>SUBTOTAL A PAGAR</t>
  </si>
  <si>
    <t>619</t>
  </si>
  <si>
    <t>618</t>
  </si>
  <si>
    <t>617</t>
  </si>
  <si>
    <t>615</t>
  </si>
  <si>
    <t>SALDO CRÉDITO TRIBUTARIO PARA EL PRÓXIMO MES</t>
  </si>
  <si>
    <t>614</t>
  </si>
  <si>
    <t>613</t>
  </si>
  <si>
    <t>612</t>
  </si>
  <si>
    <t>(+)</t>
  </si>
  <si>
    <t>611</t>
  </si>
  <si>
    <t>610</t>
  </si>
  <si>
    <t>609</t>
  </si>
  <si>
    <t>608</t>
  </si>
  <si>
    <t>607</t>
  </si>
  <si>
    <t>606</t>
  </si>
  <si>
    <t>605</t>
  </si>
  <si>
    <t>(-) SALDO CRÉDITO TRIBUTARIO DEL MES ANTERIOR</t>
  </si>
  <si>
    <t>604</t>
  </si>
  <si>
    <t>603</t>
  </si>
  <si>
    <t>602</t>
  </si>
  <si>
    <t>601</t>
  </si>
  <si>
    <t>RESUMEN IMPOSITIVO AGENTE DE PERCEPCIÓN DEL IMPUESTO AL VALOR AGREGADO</t>
  </si>
  <si>
    <t>564</t>
  </si>
  <si>
    <r>
      <t>CRÉDITO TRIBUTARIO APLICABLE EN ESTE PERÍODO</t>
    </r>
    <r>
      <rPr>
        <sz val="9"/>
        <rFont val="Arial"/>
        <family val="2"/>
      </rPr>
      <t xml:space="preserve"> (De acuerdo al Factor de Proporcionalidad o a su Contabilidad) </t>
    </r>
  </si>
  <si>
    <t>563</t>
  </si>
  <si>
    <t xml:space="preserve">FACTOR DE PROPORCIONALIDAD PARA CRÉDITO TRIBUTARIO </t>
  </si>
  <si>
    <t>555</t>
  </si>
  <si>
    <t>545</t>
  </si>
  <si>
    <t>535</t>
  </si>
  <si>
    <t>554</t>
  </si>
  <si>
    <t>544</t>
  </si>
  <si>
    <t>543</t>
  </si>
  <si>
    <t>542</t>
  </si>
  <si>
    <t>532</t>
  </si>
  <si>
    <t>541</t>
  </si>
  <si>
    <t>531</t>
  </si>
  <si>
    <t>529</t>
  </si>
  <si>
    <t>519</t>
  </si>
  <si>
    <t>509</t>
  </si>
  <si>
    <t xml:space="preserve">TOTAL ADQUISICIONES Y PAGOS </t>
  </si>
  <si>
    <t>518</t>
  </si>
  <si>
    <t>508</t>
  </si>
  <si>
    <t>517</t>
  </si>
  <si>
    <t>507</t>
  </si>
  <si>
    <t>516</t>
  </si>
  <si>
    <t>506</t>
  </si>
  <si>
    <t>526</t>
  </si>
  <si>
    <t>525</t>
  </si>
  <si>
    <t>515</t>
  </si>
  <si>
    <t>505</t>
  </si>
  <si>
    <t>524</t>
  </si>
  <si>
    <t>514</t>
  </si>
  <si>
    <t>504</t>
  </si>
  <si>
    <t>523</t>
  </si>
  <si>
    <t>513</t>
  </si>
  <si>
    <t>503</t>
  </si>
  <si>
    <t>522</t>
  </si>
  <si>
    <t>512</t>
  </si>
  <si>
    <t>502</t>
  </si>
  <si>
    <t>521</t>
  </si>
  <si>
    <t>511</t>
  </si>
  <si>
    <t>501</t>
  </si>
  <si>
    <t>520</t>
  </si>
  <si>
    <t>510</t>
  </si>
  <si>
    <t>500</t>
  </si>
  <si>
    <t>IMPUESTO GENERADO</t>
  </si>
  <si>
    <t>VALOR NETO (VALOR BRUTO - N/C)</t>
  </si>
  <si>
    <t>VALOR BRUTO</t>
  </si>
  <si>
    <t>RESUMEN DE ADQUISICIONES Y PAGOS DEL PERÍODO QUE DECLARA</t>
  </si>
  <si>
    <t>499</t>
  </si>
  <si>
    <t>485</t>
  </si>
  <si>
    <t>484</t>
  </si>
  <si>
    <t>483</t>
  </si>
  <si>
    <t>482</t>
  </si>
  <si>
    <t>481</t>
  </si>
  <si>
    <r>
      <t xml:space="preserve">TOTAL IMPUESTO A LIQUIDAR EN ESTE MES                   
</t>
    </r>
    <r>
      <rPr>
        <sz val="9"/>
        <rFont val="Arial"/>
        <family val="2"/>
      </rPr>
      <t>SUMAR 483 + 484</t>
    </r>
  </si>
  <si>
    <r>
      <t xml:space="preserve">IMPUESTO A LIQUIDAR EN EL PRÓXIMO MES
</t>
    </r>
    <r>
      <rPr>
        <sz val="9"/>
        <rFont val="Arial"/>
        <family val="2"/>
      </rPr>
      <t>(482 - 484)</t>
    </r>
  </si>
  <si>
    <r>
      <t xml:space="preserve">IMPUESTO A LIQUIDAR DEL MES ANTERIOR 
</t>
    </r>
    <r>
      <rPr>
        <sz val="9"/>
        <rFont val="Arial"/>
        <family val="2"/>
      </rPr>
      <t>(Trasládese el campo 485 de la declaración del período anterior)</t>
    </r>
  </si>
  <si>
    <r>
      <t xml:space="preserve">TOTAL IMPUESTO GENERADO 
</t>
    </r>
    <r>
      <rPr>
        <sz val="9"/>
        <rFont val="Arial"/>
        <family val="2"/>
      </rPr>
      <t>Trasládese campo 429</t>
    </r>
  </si>
  <si>
    <t>TOTAL TRANSFERENCIAS GRAVADAS TARIFA DIFERENTE DE CERO 
A CRÉDITO ESTE MES</t>
  </si>
  <si>
    <t>TOTAL TRANSFERENCIAS GRAVADAS TARIFA DIFERENTE DE CERO 
A CONTADO ESTE MES</t>
  </si>
  <si>
    <t>454</t>
  </si>
  <si>
    <t>444</t>
  </si>
  <si>
    <t>434</t>
  </si>
  <si>
    <t>453</t>
  </si>
  <si>
    <t>443</t>
  </si>
  <si>
    <t>442</t>
  </si>
  <si>
    <t>441</t>
  </si>
  <si>
    <t>431</t>
  </si>
  <si>
    <t>429</t>
  </si>
  <si>
    <t>419</t>
  </si>
  <si>
    <t>409</t>
  </si>
  <si>
    <t>TOTAL VENTAS Y OTRAS OPERACIONES</t>
  </si>
  <si>
    <t>418</t>
  </si>
  <si>
    <t>408</t>
  </si>
  <si>
    <t>417</t>
  </si>
  <si>
    <t>407</t>
  </si>
  <si>
    <t>416</t>
  </si>
  <si>
    <t>406</t>
  </si>
  <si>
    <t>415</t>
  </si>
  <si>
    <t>405</t>
  </si>
  <si>
    <t>414</t>
  </si>
  <si>
    <t>404</t>
  </si>
  <si>
    <t>413</t>
  </si>
  <si>
    <t>403</t>
  </si>
  <si>
    <t>423</t>
  </si>
  <si>
    <t>422</t>
  </si>
  <si>
    <t>412</t>
  </si>
  <si>
    <t>402</t>
  </si>
  <si>
    <t>421</t>
  </si>
  <si>
    <t>411</t>
  </si>
  <si>
    <t>401</t>
  </si>
  <si>
    <t>RESUMEN DE VENTAS Y OTRAS OPERACIONES DEL PERÍODO QUE DECLARA</t>
  </si>
  <si>
    <t xml:space="preserve"> RAZÓN SOCIAL O APELLIDOS Y NOMBRES COMPLETOS</t>
  </si>
  <si>
    <t xml:space="preserve"> RUC</t>
  </si>
  <si>
    <t xml:space="preserve"> 200 IDENTIFICACIÓN DEL SUJETO PASIVO</t>
  </si>
  <si>
    <t xml:space="preserve"> Nº. DE FORMULARIO QUE SUSTITUYE</t>
  </si>
  <si>
    <t>AÑO</t>
  </si>
  <si>
    <t>MES</t>
  </si>
  <si>
    <t>IMPORTANTE: SÍRVASE LEER INSTRUCCIONES AL REVERSO</t>
  </si>
  <si>
    <t>100 IDENTIFICACIÓN DE LA DECLARACIÓN</t>
  </si>
  <si>
    <t>RESOLUCIÓN Nº XXX</t>
  </si>
  <si>
    <t xml:space="preserve">   No.</t>
  </si>
  <si>
    <t>DECLARACIÓN DEL IMPUESTO AL VALOR AGREGADO</t>
  </si>
  <si>
    <t>FORMULARIO 104</t>
  </si>
  <si>
    <t>DETALLE DE NOTAS DE CRÉDITO DESMATERIALIZADAS</t>
  </si>
  <si>
    <t>499-898</t>
  </si>
  <si>
    <t>PAGO PREVIO  ( Informativo)</t>
  </si>
  <si>
    <t>CAMPOS 399+498</t>
  </si>
  <si>
    <t>TOTAL DE RETENCIÓN DE IMPUESTO A LA RENTA</t>
  </si>
  <si>
    <t>SUBTOTAL OPERACIONES EFECTUADAS CON EL EXTERIOR</t>
  </si>
  <si>
    <t>OTROS PAGOS AL EXTERIOR NO SUJETOS A RETENCION</t>
  </si>
  <si>
    <t>OTROS CONCEPTOS DE INGRESOS GRAVADOS</t>
  </si>
  <si>
    <t>SERVICIOS TECNICOS, ADMINISTRATIVOS O DE CONSULTORIA Y REGALIAS</t>
  </si>
  <si>
    <t>SEGUROS Y REASEGUROS (PRIMAS Y CESIONES)</t>
  </si>
  <si>
    <t>ENAJENACION DE DERECHOS REPRESENTATIVOS DE CAPITAL Y OTROS DERECHOS</t>
  </si>
  <si>
    <t>DIVIDENDOS DISTRIBUIDOS A FIDEICOMISOS</t>
  </si>
  <si>
    <t>DIVIDENDOS DISTRIBUIDOS A SOCIEDADES</t>
  </si>
  <si>
    <t>DIVIDENDOS DISTRIBUIDOS A PERSONAS NATURALES</t>
  </si>
  <si>
    <t>ANTICIPO DE DIVIDENDOS</t>
  </si>
  <si>
    <t>INTERESES</t>
  </si>
  <si>
    <t>A PARAISOS FISCALES O REGIMENES FISCALES PREFERENTES</t>
  </si>
  <si>
    <t>INTERESES DE CREDITOS</t>
  </si>
  <si>
    <t>INTERESES POR FINANCIAMIENTO DE PROVEEDORES</t>
  </si>
  <si>
    <t>SIN CONVENIO DE DOBLE TRIBUTACIÓN</t>
  </si>
  <si>
    <t>INTERESES POR FINANCIAMIENTO DE PROVEEDORES EXTERNOS</t>
  </si>
  <si>
    <t>CON CONVENIO DE DOBLE TRIBUTACIÓN</t>
  </si>
  <si>
    <t>POR PAGOS AL EXTERIOR</t>
  </si>
  <si>
    <t>SUBTOTAL OPERACIONES EFECTUADAS EN EL PAIS</t>
  </si>
  <si>
    <t>APLICABLES EL 8%</t>
  </si>
  <si>
    <t>OTRAS RETENCIONES</t>
  </si>
  <si>
    <t>No. Cajas facturadas</t>
  </si>
  <si>
    <t>IMPUESTO ÚNICO A LA EXPORTACIÓN DE BANANO PRODUCIDO POR TERCEROS</t>
  </si>
  <si>
    <t>IMPUESTO ÚNICO A LA EXPORTACIÓN DE BANANO DE PRODUCCIÓN PROPIA - COMPONENTE 2</t>
  </si>
  <si>
    <t>IMPUESTO ÚNICO A LA EXPORTACIÓN DE BANANO DE PRODUCCIÓN PROPIA - COMPONENTE 1</t>
  </si>
  <si>
    <t>LIQUIDACIÓN IMPUESTO ÚNICO A LA VENTA LOCAL DE BANANO DE PRODUCCIÓN PROPIA</t>
  </si>
  <si>
    <t>COMPRA LOCAL DE BANANO A PRODUCTOR</t>
  </si>
  <si>
    <t>A DISTRIBUIDORES</t>
  </si>
  <si>
    <t>A COMERCIALIZADORAS</t>
  </si>
  <si>
    <t>VENTA DE COMBUSTIBLES</t>
  </si>
  <si>
    <t>DIVIDENDOS GRAVADOS DISTRIBUIDOS EN ACCIONES (REINVERSIÓN DE UTILIDADES SIN DERECHO A REDUCCIÓN TARIFA IR)</t>
  </si>
  <si>
    <t>DIVIDENDOS DISTRIBUIDOS A FIDEICOMISOS RESIDENTES</t>
  </si>
  <si>
    <t>DIVIDENDOS DISTRIBUIDOS A SOCIEDADES RESIDENTES</t>
  </si>
  <si>
    <t>DIVIDENDOS DISTRIBUIDOS A PERSONAS NATURALES RESIDENTES</t>
  </si>
  <si>
    <t>DIVIDENDOS DISTRIBUIDOS QUE CORRESPONDAN AL IMPUESTO A LA RENTA ÚNICO ESTABLECIDO EN EL ART. 27 DE LA LRTI</t>
  </si>
  <si>
    <t>ANTICIPO DIVIDENDOS</t>
  </si>
  <si>
    <t>RENDIMIENTOS FINANCIEROS ENTRE INSTITUCIONES DEL SISTEMA FINANCIERO Y ENTIDADES ECONOMIA POPULAR Y SOLIDARIA</t>
  </si>
  <si>
    <t>RENDIMIENTOS FINANCIEROS</t>
  </si>
  <si>
    <t>BIENES INMUEBLES</t>
  </si>
  <si>
    <t>MERCANTIL</t>
  </si>
  <si>
    <t xml:space="preserve">ARRENDAMIENTO </t>
  </si>
  <si>
    <t>POR REGALIAS, DERECHOS DE AUTOR, MARCAS, PATENTES Y SIMILARES</t>
  </si>
  <si>
    <t>TRANSFERENCIA DE BIENES MUEBLES DE NATURALEZA CORPORAL</t>
  </si>
  <si>
    <t>A TRAVES DE LIQUIDACIONES DE COMPRA (NIVEL CULTURAL O RUSTICIDAD)</t>
  </si>
  <si>
    <t>TRANSPORTE PRIVADO DE PASAJEROS O SERVICIO PÚBLICO O PRIVADO DE CARGA</t>
  </si>
  <si>
    <t>PUBLICIDAD Y COMUNICACIÓN</t>
  </si>
  <si>
    <t>UTILIZACION O APROVECHAMIENTO DE LA IMAGEN O RENOMBRE</t>
  </si>
  <si>
    <t>PREDOMINA MANO DE OBRA</t>
  </si>
  <si>
    <t>PREDOMINA EL INTELECTO</t>
  </si>
  <si>
    <t>HONORARIOS PROFESIONALES Y DIETAS</t>
  </si>
  <si>
    <t>SERVICIOS</t>
  </si>
  <si>
    <t>EN RELACIÓN DE DEPENDENCIA QUE SUPERA O NO LA BASE GRAVADA</t>
  </si>
  <si>
    <t>VALOR RETENIDO</t>
  </si>
  <si>
    <t>BASE IMPONIBLE</t>
  </si>
  <si>
    <t>DETALLE DE PAGOS Y RETENCIÓN POR IMPUESTO A LA RENTA</t>
  </si>
  <si>
    <t xml:space="preserve"> 200 IDENTIFICACIÓN DEL SUJETO PASIVO (AGENTE DE RETENCIÓN)</t>
  </si>
  <si>
    <t xml:space="preserve"> 100 IDENTIFICACIÓN DE LA DECLARACIÓN</t>
  </si>
  <si>
    <t>DECLARACIÓN DE RETENCIONES EN LA FUENTE DEL IMPUESTO A LA RENTA</t>
  </si>
  <si>
    <t>FORMULARIO 103</t>
  </si>
  <si>
    <t>Razon Social Contribuyente 
OPCIONAL</t>
  </si>
  <si>
    <t>Valor Compensacion Solidaria</t>
  </si>
  <si>
    <t>Total de Factura de Compra</t>
  </si>
  <si>
    <t xml:space="preserve"> Codig Identif.</t>
  </si>
  <si>
    <t>Tipo Cliente</t>
  </si>
  <si>
    <t>Cantidad de Comprobantes</t>
  </si>
  <si>
    <t>Tipo de Emision del Comprobante</t>
  </si>
  <si>
    <t>Tipo de Comprobante</t>
  </si>
  <si>
    <t>Codigo
Establecimiento</t>
  </si>
  <si>
    <t>Valor Retenido en IVA</t>
  </si>
  <si>
    <t>Valor Retenido en la Fuente</t>
  </si>
  <si>
    <t>Forma de COBRO 1</t>
  </si>
  <si>
    <t>Forma de COBRO 2</t>
  </si>
  <si>
    <t>F-Fisico</t>
  </si>
  <si>
    <t>01-Pais de residencia de quien proviene el INGRESO - REGIMEN GENERAL</t>
  </si>
  <si>
    <t>02-Pais de residencia de quien proviene el INGRESO - PARAISO FISCAL</t>
  </si>
  <si>
    <t>03-Denominacion del Regimen fiscal Preferente o Jurisdiccion de Menor Imposicion</t>
  </si>
  <si>
    <t>Pais al que se efectua la Exportacion</t>
  </si>
  <si>
    <t>Paraiso Fiscal de menor Imposicion</t>
  </si>
  <si>
    <t>Tipo de Exportacion</t>
  </si>
  <si>
    <t>Tipo de Ingreso del Exterior</t>
  </si>
  <si>
    <t>Ingreso Grava impuesto en Otro Pais.?</t>
  </si>
  <si>
    <t>Valor del Impuesto pagado en Otro Pais</t>
  </si>
  <si>
    <t>Distrito</t>
  </si>
  <si>
    <t>Regimenes</t>
  </si>
  <si>
    <t>Fecha de Registro Contable/Embarque</t>
  </si>
  <si>
    <t># de documento de transporte</t>
  </si>
  <si>
    <t># de FUE (vigente hasta el 2012)</t>
  </si>
  <si>
    <t>Año</t>
  </si>
  <si>
    <t>Correlativo</t>
  </si>
  <si>
    <t>Verificador (vigente hasta 2012)</t>
  </si>
  <si>
    <t>Valor FOB</t>
  </si>
  <si>
    <t>Valor FOB Comprobante Local</t>
  </si>
  <si>
    <t>No. Serie Establecimiento</t>
  </si>
  <si>
    <t>No. Serie Punto Emisión</t>
  </si>
  <si>
    <t>No. Serie Secuencial Desde</t>
  </si>
  <si>
    <t>No. Serie Secuencial Hasta</t>
  </si>
  <si>
    <t>01-Factura</t>
  </si>
  <si>
    <t>Cantidad</t>
  </si>
  <si>
    <t>Codigo</t>
  </si>
  <si>
    <t>Valor Retenido</t>
  </si>
  <si>
    <t>03-Liquidación de compra de Bienes o Prestación de servicios</t>
  </si>
  <si>
    <t>02-Nota o boleta de venta</t>
  </si>
  <si>
    <t>424</t>
  </si>
  <si>
    <t>527</t>
  </si>
  <si>
    <t>JAVIER VELIZ NAPA</t>
  </si>
  <si>
    <t>312B</t>
  </si>
  <si>
    <t>Impuesto a la Renta único para la actividad de producción y cultivo de palma aceitera</t>
  </si>
  <si>
    <t>323S</t>
  </si>
  <si>
    <t>Pagos y créditos en cuenta efectuados por el BCE y los depósitos centralizados de valores, en calidad de intermediarios, a instituciones del sistema financiero por cuenta de otras personas naturales y sociedades</t>
  </si>
  <si>
    <t>323T</t>
  </si>
  <si>
    <t>Rendimientos financieros originados en la deuda pública ecuatoriana</t>
  </si>
  <si>
    <t>323U</t>
  </si>
  <si>
    <t>Rendimientos financieros originados en títulos valores de obligaciones de 360 días o más para el financiamiento de proyectos públicos en asociación público-privada</t>
  </si>
  <si>
    <t>324C</t>
  </si>
  <si>
    <t>Pagos y créditos en cuenta efectuados por el BCE y los depósitos centralizados de valores, en calidad de intermediarios, a instituciones del sistema financiero por cuenta de otras instituciones del sistema financiero</t>
  </si>
  <si>
    <t>Otras retenciones aplicables el 1%</t>
  </si>
  <si>
    <t>343C</t>
  </si>
  <si>
    <t>Impuesto Redimible a las botellas plásticas - IRBP</t>
  </si>
  <si>
    <t>344B</t>
  </si>
  <si>
    <t>Adquisición de sustancias minerales dentro del territorio nacional</t>
  </si>
  <si>
    <t>Otras retenciones aplicables el 8%</t>
  </si>
  <si>
    <t xml:space="preserve">Otras retenciones aplicables a otros porcentajes </t>
  </si>
  <si>
    <t>346B</t>
  </si>
  <si>
    <t xml:space="preserve">Donaciones en dinero -Impuesto a la donaciones </t>
  </si>
  <si>
    <t>346C</t>
  </si>
  <si>
    <t>Retención a cargo del propio sujeto pasivo por la exportación de concentrados y/o elementos metálicos</t>
  </si>
  <si>
    <t>346D</t>
  </si>
  <si>
    <t>Retención a cargo del propio sujeto pasivo por la comercialización de productos forestales</t>
  </si>
  <si>
    <t>501A</t>
  </si>
  <si>
    <t>Pago a no residentes - Servicios técnicos, administrativos o de consultoría y regalías</t>
  </si>
  <si>
    <t>504I</t>
  </si>
  <si>
    <t>Pago a no residentes - Préstamos no comerciales a partes relacionadas  (no domiciladas en paraísos fiscales o regímenes de menor imposición)</t>
  </si>
  <si>
    <t>504J</t>
  </si>
  <si>
    <t>Pago a no residentes - Préstamos no comerciales a partes relacionadas  (domiciladas en paraísos fiscales o regímenes de menor imposición)</t>
  </si>
  <si>
    <t>Pago a no residentes- Donaciones en dinero -Impuesto a la donaciones</t>
  </si>
  <si>
    <t>364-Acta Entrega-Recepción PET</t>
  </si>
  <si>
    <t>370-Factura operadora transporte / socio</t>
  </si>
  <si>
    <t xml:space="preserve">371-Comprobante socio a operadora de transporte </t>
  </si>
  <si>
    <t>373-Nota de débito operadora transporte / socio</t>
  </si>
  <si>
    <t>372-Nota de crédito operadora transporte / socio</t>
  </si>
  <si>
    <t>00-Casos especiales cuyo sustento no aplica en las opciones anteriores</t>
  </si>
  <si>
    <t xml:space="preserve">Otras ganancias de capital distintas de enajenación de derechos representativos de capital </t>
  </si>
  <si>
    <t>Pago a no residentes- Dividendos distribuidos a personas naturales (domicilados o no en paraiso fiscal) o a sociedades sin beneficiario efectivo persona natural residente en Ecuador (ni domiciladas en paraíso fiscal)</t>
  </si>
  <si>
    <t>Pago a no residentes - Dividendos a fideicomisos con beneficiario efectivo persona natural residente en el Ecuador (no domiciliada en paraísos fiscales o regímenes de menor imposición)</t>
  </si>
  <si>
    <t>Pago a no residentes - Dividendos a sociedades domiciladas en paraísos fiscales o regímenes de menor imposición (con o sin beneficiario efectivo persona natural residente en el Ecuador)</t>
  </si>
  <si>
    <t>Pago a no residentes - Dividendos a fideicomisos domiciladas en paraísos fiscales o regímenes de menor imposición (con o sin beneficiario efectivo persona natural residente en el Ecuador)</t>
  </si>
  <si>
    <t>Pago a no residentes - Anticipo dividendos (no domiciliada en paraísos fiscales o regímenes de menor imposición)</t>
  </si>
  <si>
    <t>Pago a no residentes - Anticipo dividendos (domiciliadas en paraísos fiscales o regímenes de menor imposición)</t>
  </si>
  <si>
    <t>Pago a no residentes - Préstamos accionistas, beneficiarios o partìcipes (no domiciladas en paraísos fiscales o regímenes de menor imposición)</t>
  </si>
  <si>
    <t>Pago a no residentes - Préstamos accionistas, beneficiarios o partìcipes (domiciladas en paraísos fiscales o regímenes de menor imposición)</t>
  </si>
  <si>
    <t xml:space="preserve">Pago a no residentes - Seguros y reaseguros (primas y cesiones)  </t>
  </si>
  <si>
    <t>14-Valores facturados por socios a operadoras de transporte (que no constituyen gasto de dicha operadora)</t>
  </si>
  <si>
    <t>Fecha de Pago Dividendos Ret2</t>
  </si>
  <si>
    <t>Impto. Renta Sociedades Ret.2</t>
  </si>
  <si>
    <t>Tipo de Emision de la Retencion</t>
  </si>
  <si>
    <t>No. Establecimiento_1</t>
  </si>
  <si>
    <t>No. Establecimiento_2</t>
  </si>
  <si>
    <t>No. Establecimiento_3</t>
  </si>
  <si>
    <t>No. Establecimiento_4</t>
  </si>
  <si>
    <t>No. Establecimiento_5</t>
  </si>
  <si>
    <t>&lt;== No. de establecimientos ACTIVO # 1</t>
  </si>
  <si>
    <t>&lt;== No. de establecimientos ACTIVO # 2</t>
  </si>
  <si>
    <t>&lt;== No. de establecimientos ACTIVO # 3</t>
  </si>
  <si>
    <t>&lt;== No. de establecimientos ACTIVO # 4</t>
  </si>
  <si>
    <t>&lt;== No. de establecimientos ACTIVO # 5</t>
  </si>
  <si>
    <t>Fecha de Registro</t>
  </si>
  <si>
    <t>Ret. Fuente
Base Imponible 1</t>
  </si>
  <si>
    <t>Ret. Fuente
Base Imponible 3</t>
  </si>
  <si>
    <t>Ret. Fuente
Base Imponible 2</t>
  </si>
  <si>
    <t>Ret. Fuente
Valor Retenido 1</t>
  </si>
  <si>
    <t>Ret. Fuente
Valor Retenido 2</t>
  </si>
  <si>
    <t>Ret. Fuente
Valor Retenido 3</t>
  </si>
  <si>
    <t>Ret. IVA
Base Imponible 10%</t>
  </si>
  <si>
    <t>Ret. IVA
Valor Retenido 10%</t>
  </si>
  <si>
    <t>Ret. IVA
Base Imponible 20%</t>
  </si>
  <si>
    <t>Ret. IVA
Valor Retenido 20%</t>
  </si>
  <si>
    <t>Ret. IVA
Base Imponible 30%</t>
  </si>
  <si>
    <t>Ret. IVA
Valor Retenido 30%</t>
  </si>
  <si>
    <t>Ret. IVA
Base Imponible 50%</t>
  </si>
  <si>
    <t>Ret. IVA
Valor Retenido 50%</t>
  </si>
  <si>
    <t>Ret. IVA
Base Imponible 70%</t>
  </si>
  <si>
    <t>Ret. IVA
Valor Retenido 70%</t>
  </si>
  <si>
    <t>Ret. IVA
Base Imponible 100%</t>
  </si>
  <si>
    <t>Ret. IVA
Valor Retenido 100%</t>
  </si>
  <si>
    <t>RETENCIONES AL IMPUESTO AL VALOR AGREGADO (IVA)</t>
  </si>
  <si>
    <t>RETENCIONES DE IMPUESTO A LA RENTA (FUENTE)</t>
  </si>
  <si>
    <t>Pagos a través de liquidación de compra (nivel cultural o rusticidad)</t>
  </si>
  <si>
    <t>Cuotas de arrendamiento mercantil (prestado por sociedades), inclusive la de opción de compra</t>
  </si>
  <si>
    <t>Arrendamiento bienes inmuebles</t>
  </si>
  <si>
    <t>Rendimientos financieros pagados a naturales y sociedades  (No a IFIs)</t>
  </si>
  <si>
    <t>Rendimientos financieros depósitos Cta. Corriente</t>
  </si>
  <si>
    <t>Rendimientos financieros  depósitos Cta. Ahorros Sociedades</t>
  </si>
  <si>
    <t>Rendimientos financieros depósito a plazo fijo  gravados</t>
  </si>
  <si>
    <t>Rendimientos financieros depósito a plazo fijo exentos</t>
  </si>
  <si>
    <t>Rendimientos financieros operaciones de reporto - repos</t>
  </si>
  <si>
    <t>Inversiones (captaciones) rendimientos distintos de aquellos pagados a IFIs</t>
  </si>
  <si>
    <t>Rendimientos financieros  obligaciones</t>
  </si>
  <si>
    <t>Rendimientos financieros  bonos convertible en acciones</t>
  </si>
  <si>
    <t xml:space="preserve">Rendimientos financieros : Inversiones en títulos valores en renta fija gravados </t>
  </si>
  <si>
    <t>Rendimientos financieros  Inversiones en títulos valores en renta fija exentos</t>
  </si>
  <si>
    <t>Intereses y demás rendimientos financieros pagados a bancos y otras entidades sometidas al control de la Superintendencia de Bancos y de la Economía Popular y Solidaria</t>
  </si>
  <si>
    <t xml:space="preserve"> Intereses pagados por entidades del sector público a favor de sujetos pasivos</t>
  </si>
  <si>
    <t xml:space="preserve">Otros intereses y rendimientos financieros gravados </t>
  </si>
  <si>
    <t>Otros intereses y rendimientos financieros exentos</t>
  </si>
  <si>
    <t xml:space="preserve"> Intereses en operaciones de crédito entre instituciones del sistema financiero y entidades economía popular y solidaria. </t>
  </si>
  <si>
    <t>Inversiones entre instituciones del sistema financiero y entidades economía popular y solidaria</t>
  </si>
  <si>
    <t>Ganancia en la enajenación de derechos representativos de capital u otros derechos que permitan la exploración, explotación, concesión o similares de sociedades, que se coticen en bolsa de valores del Ecuador</t>
  </si>
  <si>
    <t>Contraprestación producida por la enajenación de derechos representativos de capital u otros derechos que permitan la exploración, explotación, concesión o similares de sociedades, no cotizados en bolsa de valores del Ecuador</t>
  </si>
  <si>
    <t>Loterías, rifas, apuestas y similares</t>
  </si>
  <si>
    <t>Venta de combustibles a comercializadoras</t>
  </si>
  <si>
    <t>Venta de combustibles a distribuidores</t>
  </si>
  <si>
    <t>Energía eléctrica</t>
  </si>
  <si>
    <t>Actividades de construcción de obra material inmueble, urbanización, lotización o actividades similares</t>
  </si>
  <si>
    <t>Pago local tarjeta de crédito /débito reportada por la Emisora de tarjeta de crédito / entidades del sistema financiero</t>
  </si>
  <si>
    <t>Pago a no residentes- Dividendos distribuidos a personas naturales (domicilados o no en paraiso fiscal) o a sociedades sin beneficiario efectivo persona natural residente en Ecuador</t>
  </si>
  <si>
    <t>Pago al exterior - Dividendos a sociedades con beneficiario efectivo persona natural residente en el Ecuador (no domiciliada en paraísos fiscales o regímenes de menor imposición) / o incumpliendo el deber de informar la composición societaria</t>
  </si>
  <si>
    <t>Pago a no residentes - Dividendos a fideicomisos con beneficiario efectivo persona natural residente en el Ecuador (no domiciliada en paraísos fiscales o regímenes de menor imposición) /o incumpliendo el deber de informar la composición societaria</t>
  </si>
  <si>
    <t>Pago a no residentes - Dividendos a sociedades domiciladas en paraísos fiscales o regímenes de menor imposición (con beneficiario efectivo persona natural residente en el Ecuador)</t>
  </si>
  <si>
    <t>Pago a no residentes - Dividendos a fideicomisos domiciladas en paraísos fiscales o regímenes de menor imposición (con beneficiario efectivo persona natural residente en el Ecuador)</t>
  </si>
  <si>
    <t>Pago a no residentes - Intereses por financiamiento de proveedores externos</t>
  </si>
  <si>
    <t>Pago a no residentes - Intereses de otros créditos externos</t>
  </si>
  <si>
    <t>Pago a no residentes - Por las empresas de transporte marítimo o aéreo y por empresas pesqueras de alta mar, por su actividad.</t>
  </si>
  <si>
    <t xml:space="preserve">Pago a no residentes - Otros pagos al exterior no sujetos a retención </t>
  </si>
  <si>
    <t>15-Pagos efectuados por consumos propios y de terceros de servicios digitales</t>
  </si>
  <si>
    <t>13-Documentos emitidos por compañías de seguros</t>
  </si>
  <si>
    <t>14-Comprobantes emitidos por empresas de telecomunicaciones</t>
  </si>
  <si>
    <t>Impuesto único a ingresos provenientes de actividades agropecuarias en etapa de producción / comercialización local o exportación</t>
  </si>
  <si>
    <t>IMPUESTO ÚNICO A INGRESOS PROVENIENTES DE ACTIVIDADES AGROPECUARIAS EN ETAPA DE PRODUCCIÓN / COMERCIALIZACIÓN LOCAL O EXPORTACIÓN</t>
  </si>
  <si>
    <t>Producción y venta local de banano producido o no por el mismo sujeto pasivo (1% a 2%)</t>
  </si>
  <si>
    <t>Anticipo dividendos (22% o 25%)</t>
  </si>
  <si>
    <t>Préstamos accionistas, beneficiarios o partícipes residentes o establecidos en el Ecuador (22% o 25%)</t>
  </si>
  <si>
    <t>Otras autoretenciones</t>
  </si>
  <si>
    <t>Otras autoretenciones (1.50% o 1.75%)</t>
  </si>
  <si>
    <t>Pago a no residentes - Rentas Inmobiliarias (25% o 35%)</t>
  </si>
  <si>
    <t>Pago a no residentes - Beneficios/Servicios  Empresariales (25% o 35%)</t>
  </si>
  <si>
    <t>Pago a no residentes - Servicios técnicos, administrativos o de consultoría y regalías (25% o 35%)</t>
  </si>
  <si>
    <t>Pago a no residentes- Navegación Marítima y/o aérea (0%  o 25% o 35%)</t>
  </si>
  <si>
    <t>Pago a no residentes - Anticipo dividendos (no domiciliada en paraísos fiscales o regímenes de menor imposición) (22% o 25%)</t>
  </si>
  <si>
    <t>Pago a no residentes - Anticipo dividendos (domiciliadas en paraísos fiscales o regímenes de menor imposición)  (22% o 25% o 28%)</t>
  </si>
  <si>
    <t>Pago a no residentes - Préstamos accionistas, beneficiarios o partìcipes (no domiciladas en paraísos fiscales o regímenes de menor imposición) (22% o 25%)</t>
  </si>
  <si>
    <t>Pago a no residentes - Préstamos accionistas, beneficiarios o partìcipes (domiciladas en paraísos fiscales o regímenes de menor imposición) (22% o 25%o 28%)</t>
  </si>
  <si>
    <t>Pago a no residentes - Préstamos no comerciales a partes relacionadas  (no domiciladas en paraísos fiscales o regímenes de menor imposición) (22% o 25%)</t>
  </si>
  <si>
    <t>Pago a no residentes - Préstamos no comerciales a partes relacionadas  (domiciladas en paraísos fiscales o regímenes de menor imposición) (22% o 25% o 28%)</t>
  </si>
  <si>
    <t>Pago a no residentes - Rendimientos financieros (25% o 35%)</t>
  </si>
  <si>
    <t>Pago a no residentes - Otros Intereses y Rendimientos Financieros (25% o 35%)</t>
  </si>
  <si>
    <t>Pago a no residentes- Cánones, derechos de autor,  marcas, patentes y similares (25% o 35%)</t>
  </si>
  <si>
    <t>PPago a no residentes - Regalías por concepto de franquicias (25% o 35%)</t>
  </si>
  <si>
    <t>Pago a no residentes - Otras ganancias de capital distintas de enajenación de derechos representativos de capital  (5% o 25% o 35%)</t>
  </si>
  <si>
    <t>Pago a no residentes - Servicios profesionales independientes (25% o 35%)</t>
  </si>
  <si>
    <t>Pago a no residentes - Servicios profesionales dependientes (25% o 35%)</t>
  </si>
  <si>
    <t>Pago a no residentes- Artistas (25% o 35%)</t>
  </si>
  <si>
    <t>Pago a no residentes - Deportistas (25% o 35%)</t>
  </si>
  <si>
    <t>Pago a no residentes - Participación de consejeros (25% o 35%)</t>
  </si>
  <si>
    <t>Pago a no residentes - Entretenimiento Público (25% o 35%)</t>
  </si>
  <si>
    <t>Pago a no residentes - Pensiones (25% o 35%)</t>
  </si>
  <si>
    <t>Pago a no residentes- Reembolso de Gastos (25% o 35%)</t>
  </si>
  <si>
    <t>Pago a no residentes- Funciones Públicas (25% o 35%)</t>
  </si>
  <si>
    <t>Pago a no residentes - Estudiantes (25% o 35%)</t>
  </si>
  <si>
    <t>Pago a no residentes - Pago a proveedores de servicios hoteleros y turísticos en el exterior (25% o 35%)</t>
  </si>
  <si>
    <t>Pago a no residentes - Arrendamientos mercantil internacional (0% o 25% o 35%)</t>
  </si>
  <si>
    <t>Pago a no residentes - Comisiones por exportaciones y por promoción de turismo receptivo (0% o 25% o 35%)</t>
  </si>
  <si>
    <t>Pago a no residentes - Por las agencias internacionales de prensa (0% o 25% o 35%)</t>
  </si>
  <si>
    <t>Pago a no residentes - Contratos de fletamento de naves para empresas de transporte aéreo o marítimo internacional (0% o 25% o 35%)</t>
  </si>
  <si>
    <t>Pago a no residentes - Enajenación de derechos representativos de capital u otros derechos que permitan la exploración, explotación, concesión o similares de sociedades  (1% o 10%)</t>
  </si>
  <si>
    <t>Pago a no residentes - Seguros y reaseguros (primas y cesiones) (0% o 22% o 35%)</t>
  </si>
  <si>
    <t>Retención a cargo del propio sujeto pasivo por la exportación de concentrados y/o elementos metálicos (0% o 10%)</t>
  </si>
  <si>
    <t>Retención a cargo del propio sujeto pasivo por la comercialización de productos forestales (0% o 10%)</t>
  </si>
  <si>
    <t>Pago a no residentes – Intereses de créditos de Instituciones Financieras del exterior (0% o 25%)</t>
  </si>
  <si>
    <t>Pago a no residentes – Intereses de créditos de gobierno a gobierno (0% o 25%)</t>
  </si>
  <si>
    <t>Pago a no residentes – Intereses de créditos de organismos multilaterales (0% o 25%)</t>
  </si>
  <si>
    <t>Dividendos distribuidos que correspondan al impuesto a la renta único establecido en el art. 27 de la LRTI (Hasta 25% y conforme la Resolución NAC-DGERCGC20-000000013)</t>
  </si>
  <si>
    <t>Dividendos distribuidos a personas naturales residentes (Hasta 25% y conforme la Resolución NAC-DGERCGC20-000000013)</t>
  </si>
  <si>
    <t>Otras retenciones aplicables el 2.75%</t>
  </si>
  <si>
    <t>APLICABLES EL 2.75%</t>
  </si>
  <si>
    <t>Dividendos en acciones (capitalización de utilidades)</t>
  </si>
  <si>
    <t>PRODUCCIÓN Y VENTA LOCAL DE BANANO PRODUCIDO O NO POR EL MISMO SUJETO PASIVO</t>
  </si>
  <si>
    <t>IMPUESTO ÚNICO A LA EXPORTACIÓN DE BANANO</t>
  </si>
  <si>
    <t>DIVIDENDOS SIN BENEFICIARIO EFECTIVO PERSONA NATURAL RESIDENTE EN ECUADOR</t>
  </si>
  <si>
    <t>DIVIDENDOS CON BENEFICIARIO EFECTIVO PERSONA NATURAL RESIDENTE EN ECUADOR</t>
  </si>
  <si>
    <t>DIVIDENDOS INCUMPLIENDO EL DEBER DE INFORMAR LA COMPOSICION SOCIETARIA</t>
  </si>
  <si>
    <t>Dividendos a residentes o establecidos en paraísos fiscales o regímenes de menor imposición (con beneficiario Persona Natural residente en Ecuador)</t>
  </si>
  <si>
    <t>Dividendos a no residentes incumpliendo el deber de informar la composición societaria</t>
  </si>
  <si>
    <t>Dividendos a sociedades con beneficiario efectivo persona natural residente en el Ecuador</t>
  </si>
  <si>
    <t>LOURDES GOMEZ SOLIS</t>
  </si>
  <si>
    <t>demostracion@srianexos.com</t>
  </si>
  <si>
    <t>No. Establecimiento_6</t>
  </si>
  <si>
    <t>No. Establecimiento_7</t>
  </si>
  <si>
    <t>No. Establecimiento_8</t>
  </si>
  <si>
    <t>No. Establecimiento_9</t>
  </si>
  <si>
    <t>No. Establecimiento_10</t>
  </si>
  <si>
    <t>&lt;== No. de establecimientos ACTIVO # 6</t>
  </si>
  <si>
    <t>&lt;== No. de establecimientos ACTIVO # 7</t>
  </si>
  <si>
    <t>&lt;== No. de establecimientos ACTIVO # 8</t>
  </si>
  <si>
    <t>&lt;== No. de establecimientos ACTIVO # 9</t>
  </si>
  <si>
    <t>&lt;== No. de establecimientos ACTIVO # 10</t>
  </si>
  <si>
    <t>Tipo de ACTIVIDAD</t>
  </si>
  <si>
    <t>Monto de Propina</t>
  </si>
  <si>
    <t>Mes declarado</t>
  </si>
  <si>
    <t>Monto Propina</t>
  </si>
  <si>
    <t>Fecha de Registro de Anulacion</t>
  </si>
  <si>
    <t>SELECCIONE PERIODO</t>
  </si>
  <si>
    <t>DETALLE DE VENTAS</t>
  </si>
  <si>
    <t>Retenciones de IVA  RECIBIDAS (Ventas)</t>
  </si>
  <si>
    <t>Retenciones de Impto. a la Renta RECIBIDAS (Ventas)</t>
  </si>
  <si>
    <t>DETALLE DE COMPRAS</t>
  </si>
  <si>
    <t>Retenciones de IVA  EMITIDAS (Compras)</t>
  </si>
  <si>
    <t>Retenciones de Impto. a la Renta EMITIDAS (Compras)</t>
  </si>
  <si>
    <t>Factor proporcional I.V.A.</t>
  </si>
  <si>
    <t>I.V.A. en
compras utilizado</t>
  </si>
  <si>
    <t>I.V.A. 
Causado x Pagar</t>
  </si>
  <si>
    <t>Credito Tributario de I.V.A. por Compras en el presente mes</t>
  </si>
  <si>
    <t>Credito Trib. I.V.A. del Periodo Anterior</t>
  </si>
  <si>
    <t>Retenciones de IVA en Ventas del Presente Periodo</t>
  </si>
  <si>
    <t>Credito Trib. I.V.A. para el mes Siguiente</t>
  </si>
  <si>
    <t>Impuesto a pagar en el Periodo como Agente de Percepcion</t>
  </si>
  <si>
    <t>Impuesto a pagar en el Periodo como Agente de Retencion</t>
  </si>
  <si>
    <t>Total Valor a Pagar formulario 104</t>
  </si>
  <si>
    <t xml:space="preserve">Mes </t>
  </si>
  <si>
    <t>No. declaracion</t>
  </si>
  <si>
    <t>Base Imponible de Ventas</t>
  </si>
  <si>
    <t>Subtotal Base Imponible en Ventas</t>
  </si>
  <si>
    <t>Total de Ventas</t>
  </si>
  <si>
    <t>Base Imponible de Compras NO Gravable</t>
  </si>
  <si>
    <t>Base Imponible de Compras Gravable</t>
  </si>
  <si>
    <t>Subtotal Base Imponible en Compras</t>
  </si>
  <si>
    <t>I.V.A. en
compras por GASTO</t>
  </si>
  <si>
    <t>I.V.A. en
compras para CREDITO TRIBUTARIO</t>
  </si>
  <si>
    <t>Total de IVA en Compras</t>
  </si>
  <si>
    <t>Total de Compras</t>
  </si>
  <si>
    <t xml:space="preserve">Por    Compras </t>
  </si>
  <si>
    <t>Por Retenciones</t>
  </si>
  <si>
    <t>1-VIVIENDA</t>
  </si>
  <si>
    <t>2-VESTIMENTA</t>
  </si>
  <si>
    <t>3-SALUD</t>
  </si>
  <si>
    <t>4-EDUCACION</t>
  </si>
  <si>
    <t>5-ALIMENTACION</t>
  </si>
  <si>
    <t>DETALLE DE GASTOS PERSONALES</t>
  </si>
  <si>
    <t>E-Electronico</t>
  </si>
  <si>
    <t>Tipo de
Documento</t>
  </si>
  <si>
    <t>Base Imponible 0%</t>
  </si>
  <si>
    <t>Base Imponible con tarifa de IVA</t>
  </si>
  <si>
    <t>Valor de IVA</t>
  </si>
  <si>
    <t>Otros</t>
  </si>
  <si>
    <t>Periodo Declarado en 103</t>
  </si>
  <si>
    <t>111</t>
  </si>
  <si>
    <t>113</t>
  </si>
  <si>
    <t>TOTAL COMPROBANTES DE VENTA EMITIDOS</t>
  </si>
  <si>
    <t>TOTAL COMPROBANTES DE VENTAS ANULADOS</t>
  </si>
  <si>
    <t>115</t>
  </si>
  <si>
    <t>117</t>
  </si>
  <si>
    <t>119</t>
  </si>
  <si>
    <t>TOTAL COMPROBANTES DE VENTA RECIBIDOS POR
ADQUISICIONES Y PAGOS (excepto notas de venta)</t>
  </si>
  <si>
    <t>TOTAL NOTAS DE VENTA RECIBIDAS</t>
  </si>
  <si>
    <t>DETALLE DE COMPROBANTES ANULADOS</t>
  </si>
  <si>
    <t>DETALLE DE EXPORTACIONES</t>
  </si>
  <si>
    <t>DETALLE DE REEMBOLSOS POR COMPRAS</t>
  </si>
  <si>
    <t>ACT. EMPRESARIALES CON REGISTRO DE INGRESOS Y EGRESOS</t>
  </si>
  <si>
    <t>ARRIENDO DE BIENES INMUEBLES</t>
  </si>
  <si>
    <t>ARRIENDO DE OTROS ACTIVOS</t>
  </si>
  <si>
    <t>DIVIDENDOS</t>
  </si>
  <si>
    <t>INGRESO POR REGALÍAS</t>
  </si>
  <si>
    <t>INGRESOS PROVENIENTES DEL EXTERIOR</t>
  </si>
  <si>
    <t>INGRESOS SUJETOS A IMPUESTO A LA RENTA ÚNICO</t>
  </si>
  <si>
    <t>LIBRE EJERCICIO PROFESIONAL</t>
  </si>
  <si>
    <t>OCUPACIÓN LIBERAL (COMISIONISTAS, ARTESANOS, AGENTES, REPRE. Y AUTÓNOMOS)</t>
  </si>
  <si>
    <t>OTRAS RENTAS GRAVADAS</t>
  </si>
  <si>
    <t>RELACION DE DEPENDENCIA</t>
  </si>
  <si>
    <t>RENTAS AGRÍCOLAS</t>
  </si>
  <si>
    <t>UTILIDAD EN LA ENAJENACIÓN DE DERECHOS REPRESENTATIVOS DE CAPITAL</t>
  </si>
  <si>
    <t>LIQUIDACIÓN DEL 12 EN EL MES</t>
  </si>
  <si>
    <t>DETALLE DE IMPUTACIÓN AL PAGO (Para declaraciones sustitut12s)</t>
  </si>
  <si>
    <t>VALORES A PAGAR Y FORMA DE PAGO (luego de imputación al pago en declaraciones sustitut12s)</t>
  </si>
  <si>
    <t>Monto de I.C.E. incluido en Base Imp.</t>
  </si>
  <si>
    <t>Monto de I.C.E. NO incluido en Base Imp.</t>
  </si>
  <si>
    <t>Tipo de Emision de la Retencion Recibida</t>
  </si>
  <si>
    <t>Base Imponible EXENTA</t>
  </si>
  <si>
    <t>Periodo Declarado Form104</t>
  </si>
  <si>
    <t>Periodo Declarado Form. 104</t>
  </si>
  <si>
    <t>-------------------- (Obligatorio si es PASAPORTE el ID)  --------------------</t>
  </si>
  <si>
    <t>--------------------------------------------------------------------------  Datos del documento de compra --------------------------------------------------------------------------</t>
  </si>
  <si>
    <t>-------- Datos del documento modificado en la N/C - N/D --------</t>
  </si>
  <si>
    <t>---------- Valores Retenidos - Codigo Ret. #1 ----------</t>
  </si>
  <si>
    <t>--- Datos del Dividendo retenido - Ret. #1 ---</t>
  </si>
  <si>
    <t>---------- Valores Retenidos - Codigo Ret. #2 ----------</t>
  </si>
  <si>
    <t>--- Datos del Dividendo retenido - Ret. #2 ---</t>
  </si>
  <si>
    <t>-- Cajas de Banano - Ret. #2 --</t>
  </si>
  <si>
    <t>-- Cajas de Banano - Ret. #1 --</t>
  </si>
  <si>
    <t>TOTALES</t>
  </si>
  <si>
    <t xml:space="preserve"> ---- Formas de Cobros ------</t>
  </si>
  <si>
    <t xml:space="preserve"> ---------- -------------------------------------------------  Datos del documento soporte de la compra por reembolsos  ----------------------------------------------------------- </t>
  </si>
  <si>
    <t xml:space="preserve"> - Datos de Bases Imponibles de los documentos de Reembolsos -</t>
  </si>
  <si>
    <t>Numero de Factura COMPRA Principal &lt;&lt; secuencial columna J &gt;&gt;</t>
  </si>
  <si>
    <t>-------------------- (Obligatorio Razon Social)  --------------------</t>
  </si>
  <si>
    <t>-------------------------------------------------  Datos del documento de EXPORTACION ----------------------------------------------------</t>
  </si>
  <si>
    <t>---- Bases Imponibles para Formulario 104 ----</t>
  </si>
  <si>
    <t>Regimen Microempresas (a partir de Enero 2021)</t>
  </si>
  <si>
    <t>Otras retenciones aplicables a otros porcentajes  (incluyen retenciones al régimen Microempresarial hasta Dic-2020)</t>
  </si>
  <si>
    <t>Periodo Contable:</t>
  </si>
  <si>
    <t>COMPRAS</t>
  </si>
  <si>
    <t>Transacción</t>
  </si>
  <si>
    <t>TOTAL</t>
  </si>
  <si>
    <t>VENTAS</t>
  </si>
  <si>
    <t>EXPORTACIONES</t>
  </si>
  <si>
    <t xml:space="preserve">Factura </t>
  </si>
  <si>
    <t>Comprobante de venta emitido por reembolso</t>
  </si>
  <si>
    <t>COMPROBANTES ANULADOS</t>
  </si>
  <si>
    <t>COMPRA</t>
  </si>
  <si>
    <t>Retención IVA 10%</t>
  </si>
  <si>
    <t>Retención IVA 20%</t>
  </si>
  <si>
    <t>Retención IVA 50%</t>
  </si>
  <si>
    <t>VENTA</t>
  </si>
  <si>
    <t>Firma del Contador</t>
  </si>
  <si>
    <t>Firma del Representante Legal</t>
  </si>
  <si>
    <t>Cód.</t>
  </si>
  <si>
    <t>Nº Registros</t>
  </si>
  <si>
    <t>Valor IVA</t>
  </si>
  <si>
    <t xml:space="preserve">Nota o boleta de venta </t>
  </si>
  <si>
    <t xml:space="preserve">Liquidación de compra de Bienes o Prestación de servicios </t>
  </si>
  <si>
    <t>N/C Compras</t>
  </si>
  <si>
    <t>N/D Compras</t>
  </si>
  <si>
    <t>Boletos o entradas a espectáculos públicos</t>
  </si>
  <si>
    <t>Tiquetes o vales emitidos por máquinas registradoras</t>
  </si>
  <si>
    <t>Pasajes expedidos por empresas de aviación</t>
  </si>
  <si>
    <t>Documentos emitidos por instituciones financieras</t>
  </si>
  <si>
    <t>13</t>
  </si>
  <si>
    <t>Documentos emitidos por compañías de seguros</t>
  </si>
  <si>
    <t>14</t>
  </si>
  <si>
    <t>Comprobantes emitidos por empresas de telecomunicaciones</t>
  </si>
  <si>
    <t>Comprobantes  de venta emitidos en exterior</t>
  </si>
  <si>
    <t>Comprobantes de Pago de Cuotas o Aportes</t>
  </si>
  <si>
    <t>Documentos por Servicios Administrativos emitidos por Inst. del Estado</t>
  </si>
  <si>
    <t>Carta de Porte Aéreo</t>
  </si>
  <si>
    <t>Documento retención presuntiva y retención emitida por propio vendedor o por intermediario</t>
  </si>
  <si>
    <t>Liquidacion para Explotacion y Exploracion de Hidrocarburos</t>
  </si>
  <si>
    <t>Liquidación de medicina prepagada</t>
  </si>
  <si>
    <t>N/C por Reembolso Emitida por Intermediario</t>
  </si>
  <si>
    <t>N/D por Reembolso Emitida por Intermediario</t>
  </si>
  <si>
    <t>Liquidación de compra de Bienes Muebles Usados</t>
  </si>
  <si>
    <t xml:space="preserve">Liquidación de compra de vehículos usados </t>
  </si>
  <si>
    <t>Acta Entrega-Recepción PET</t>
  </si>
  <si>
    <t xml:space="preserve">Comprobante socio a operadora de transporte </t>
  </si>
  <si>
    <t>Nota de  crédito  operadora transporte / socio</t>
  </si>
  <si>
    <t>Nota de  débito  operadora transporte / socio</t>
  </si>
  <si>
    <t>Liquidación de compra RISE de bienes o prestación de servicios</t>
  </si>
  <si>
    <t>N/C Ventas</t>
  </si>
  <si>
    <t>N/D Ventas</t>
  </si>
  <si>
    <t xml:space="preserve">Documentos autorizados utilizados en ventas excepto N/C N/D </t>
  </si>
  <si>
    <t xml:space="preserve">Comprobante de contribuciones y aportes </t>
  </si>
  <si>
    <t>Proveedor Directo de Exportador Bajo Régimen Especial</t>
  </si>
  <si>
    <t>A Inst. Estado y Empr. Públicas que percibe ingreso exento de Imp. Renta</t>
  </si>
  <si>
    <t>N/C A Inst. Estado y Empr. Públicas que percibe ingreso exento de Imp. Renta</t>
  </si>
  <si>
    <t>N/D A Inst. Estado y Empr. Públicas que percibe ingreso exento de Imp. Renta</t>
  </si>
  <si>
    <t>370</t>
  </si>
  <si>
    <t>Factura operadora transporte / socio</t>
  </si>
  <si>
    <t>371</t>
  </si>
  <si>
    <t>372</t>
  </si>
  <si>
    <t>373</t>
  </si>
  <si>
    <t>Valor FOB del Comprobante</t>
  </si>
  <si>
    <t>Factura</t>
  </si>
  <si>
    <t>Notas de Crédito Exportación</t>
  </si>
  <si>
    <t>Notas de Débito Exportación</t>
  </si>
  <si>
    <t>Formulario Único de Exportación (FUE) o Declaración Aduanera Única (DAU) o DAV</t>
  </si>
  <si>
    <t>Total de Comprobantes Anulados en el período informado (no incluye los dados de baja)</t>
  </si>
  <si>
    <t>RESUMEN DE RETENCIONES - AGENTE DE RETENCION</t>
  </si>
  <si>
    <t>RETENCION EN LA FUENTE DE IMPUESTO A LA RENTA</t>
  </si>
  <si>
    <t xml:space="preserve">Concepto de Retención </t>
  </si>
  <si>
    <t xml:space="preserve">Base Imponible </t>
  </si>
  <si>
    <t>RETENCION EN LA FUENTE DE IVA</t>
  </si>
  <si>
    <t>Operación</t>
  </si>
  <si>
    <t>Retención IVA 30%</t>
  </si>
  <si>
    <t>Retención IVA 70%</t>
  </si>
  <si>
    <t>Retención IVA 100%</t>
  </si>
  <si>
    <t>Retención IVA Nota de Crédito Devolucion</t>
  </si>
  <si>
    <t>RESUMEN DE RETENCIONES QUE LE EFECTUARON EN EL PERIODO</t>
  </si>
  <si>
    <t>Tipo de Retención que le efectuaron</t>
  </si>
  <si>
    <t>Valor de IVA que le han retenido</t>
  </si>
  <si>
    <t>Valor de Renta que le han retenido</t>
  </si>
  <si>
    <t>EMPRESA EMISORA TARJETA DE CREDITO</t>
  </si>
  <si>
    <t>Total Consumo</t>
  </si>
  <si>
    <t>RECAP</t>
  </si>
  <si>
    <t>Notas de Crédito TC</t>
  </si>
  <si>
    <t>Notas de Débito TC</t>
  </si>
  <si>
    <t>RESUMEN DE RETENCIONES QUE EFECTUO EN EL PERIODO</t>
  </si>
  <si>
    <t>Tipo de Retención que efectuó</t>
  </si>
  <si>
    <t>TC</t>
  </si>
  <si>
    <t>Valor de IVA que retuvo</t>
  </si>
  <si>
    <t>Valor de Renta que retuvo</t>
  </si>
  <si>
    <t>Pago a no residentes - Rendimientos financieros</t>
  </si>
  <si>
    <t>Pago a no residentes – Intereses de créditos de Instituciones Financieras del exterior</t>
  </si>
  <si>
    <t>Pago a no residentes – Intereses de créditos de gobierno a gobierno</t>
  </si>
  <si>
    <t>Pago a no residentes – Intereses de créditos de organismos multilaterales</t>
  </si>
  <si>
    <t>Pago a no residentes - Otros Intereses y Rendimientos Financieros</t>
  </si>
  <si>
    <t>TRANSACCIONES EXENTAS</t>
  </si>
  <si>
    <t>Ahorros Personas Naturales</t>
  </si>
  <si>
    <t>Cuentas Exentas</t>
  </si>
  <si>
    <t>TOTAL TRANSACCIONES EXENTAS</t>
  </si>
  <si>
    <t>FONDOS Y FIDEICOMISOS</t>
  </si>
  <si>
    <t>Tipo de fideicomiso</t>
  </si>
  <si>
    <t>Total Beneficio Individual</t>
  </si>
  <si>
    <t>Fideicomiso Mercantil Inmobiliario</t>
  </si>
  <si>
    <t>Fondos De Inversión</t>
  </si>
  <si>
    <t>Fideicomisos Mercantiles De Administración</t>
  </si>
  <si>
    <t>Fideicomisos Mercantiles De Inversión</t>
  </si>
  <si>
    <t>Fideicomisos Mercantiles Inmobiliarios</t>
  </si>
  <si>
    <t>Fideicomisos Mercantiles De Garantías</t>
  </si>
  <si>
    <t>Fideicomiso Mercantil de Titularización</t>
  </si>
  <si>
    <t>Fideicomiso Mercantil De Titularización</t>
  </si>
  <si>
    <t>Fideicomiso Mercantil De Inversión</t>
  </si>
  <si>
    <t>Fideicomiso Mercantil De Administración</t>
  </si>
  <si>
    <t>Fideicomiso Mercantil De Garantías</t>
  </si>
  <si>
    <t>Fondo Complementario</t>
  </si>
  <si>
    <t>Declaro que los datos contenidos en este anexo son verdaderos, por lo que asumo la responsabilidad correspondiente, de acuerdo a lo establecido en el Art. 101 de la Codificación  de la Ley de Régimen Tributario Interno</t>
  </si>
  <si>
    <t>294</t>
  </si>
  <si>
    <t>344</t>
  </si>
  <si>
    <t>364</t>
  </si>
  <si>
    <t>374</t>
  </si>
  <si>
    <t>375</t>
  </si>
  <si>
    <t>304</t>
  </si>
  <si>
    <t>323</t>
  </si>
  <si>
    <t>10</t>
  </si>
  <si>
    <t>17</t>
  </si>
  <si>
    <t>-</t>
  </si>
  <si>
    <t>TALÓN RESUMEN</t>
  </si>
  <si>
    <t>SERVICIO DE RENTAS INTERNAS</t>
  </si>
  <si>
    <t>ANEXO TRANSACCIONAL</t>
  </si>
  <si>
    <t xml:space="preserve">TOTAL: </t>
  </si>
  <si>
    <t>BI tarifa 
0%</t>
  </si>
  <si>
    <t>BI tarifa 
diferente de 0%</t>
  </si>
  <si>
    <t>BI tarifa 
No Objeto IVA</t>
  </si>
  <si>
    <t>Total</t>
  </si>
  <si>
    <t>Rendimiento Generado</t>
  </si>
  <si>
    <t>Concepto de Rendimiento que generó la Retención</t>
  </si>
  <si>
    <t>BI tarifa 
Exenta</t>
  </si>
  <si>
    <t>375-Liquidación de compra RISE de bienes o prestación de servicios</t>
  </si>
  <si>
    <t>374-Nota de débito operadora transporte / socio</t>
  </si>
  <si>
    <t>303</t>
  </si>
  <si>
    <t>307</t>
  </si>
  <si>
    <t>308</t>
  </si>
  <si>
    <t>309</t>
  </si>
  <si>
    <t>310</t>
  </si>
  <si>
    <t>311</t>
  </si>
  <si>
    <t>312</t>
  </si>
  <si>
    <t>319</t>
  </si>
  <si>
    <t>320</t>
  </si>
  <si>
    <t>322</t>
  </si>
  <si>
    <t>325</t>
  </si>
  <si>
    <t>326</t>
  </si>
  <si>
    <t>327</t>
  </si>
  <si>
    <t>328</t>
  </si>
  <si>
    <t>329</t>
  </si>
  <si>
    <t>330</t>
  </si>
  <si>
    <t>331</t>
  </si>
  <si>
    <t>332</t>
  </si>
  <si>
    <t>333</t>
  </si>
  <si>
    <t>334</t>
  </si>
  <si>
    <t>335</t>
  </si>
  <si>
    <t>336</t>
  </si>
  <si>
    <t>337</t>
  </si>
  <si>
    <t>338</t>
  </si>
  <si>
    <t>339</t>
  </si>
  <si>
    <t>340</t>
  </si>
  <si>
    <t>341</t>
  </si>
  <si>
    <t>342</t>
  </si>
  <si>
    <t>343</t>
  </si>
  <si>
    <t>3440</t>
  </si>
  <si>
    <t>345</t>
  </si>
  <si>
    <t>346</t>
  </si>
  <si>
    <t>348</t>
  </si>
  <si>
    <t>350</t>
  </si>
  <si>
    <t>351</t>
  </si>
  <si>
    <t>RET_COM_FTE</t>
  </si>
  <si>
    <t>RECAPS</t>
  </si>
  <si>
    <t>FIDEICOMISOS</t>
  </si>
  <si>
    <t>RET_COM_IVA10</t>
  </si>
  <si>
    <t>RET_COM_IVA20</t>
  </si>
  <si>
    <t>RET_COM_IVA30</t>
  </si>
  <si>
    <t>RET_COM_IVA50</t>
  </si>
  <si>
    <t>RET_COM_IVA70</t>
  </si>
  <si>
    <t>RET_COM_IVA100</t>
  </si>
  <si>
    <t>RET_COM_IVANC</t>
  </si>
  <si>
    <t>RET_VEN_IVA</t>
  </si>
  <si>
    <t>RET_VEN_FTE</t>
  </si>
  <si>
    <t>RET_REC_IVA</t>
  </si>
  <si>
    <t>RET_REC_FTE</t>
  </si>
  <si>
    <t>ANULADOS</t>
  </si>
  <si>
    <t>REND_CTA_EXE</t>
  </si>
  <si>
    <t>REND_NAT_AHO</t>
  </si>
  <si>
    <t>RET_REN_FTE</t>
  </si>
  <si>
    <t>6</t>
  </si>
  <si>
    <t>7</t>
  </si>
  <si>
    <t>8</t>
  </si>
  <si>
    <t>9</t>
  </si>
  <si>
    <t xml:space="preserve">RUC </t>
  </si>
  <si>
    <t xml:space="preserve">CI </t>
  </si>
  <si>
    <t>02-Paises de residencia a quien se efectua el PAGO en PARAISO FISCAL</t>
  </si>
  <si>
    <t xml:space="preserve">Valor Retencion IVA en NC </t>
  </si>
  <si>
    <t xml:space="preserve">     &lt;&lt;-- Seleccione el periodo a declarar</t>
  </si>
  <si>
    <t xml:space="preserve">      &lt;&lt;-- Seleccione el periodo a declarar</t>
  </si>
  <si>
    <t>00-Comprobante de ventas anulado</t>
  </si>
  <si>
    <t>23-Nota de Crédito T/C</t>
  </si>
  <si>
    <t>24-Nota de Débito T/C</t>
  </si>
  <si>
    <t>6-TURISMO</t>
  </si>
  <si>
    <t>VELIZ NAPA JAVIER</t>
  </si>
  <si>
    <t>MICROEMPRESA Y ACTIVIDADES  INCLUYENTES</t>
  </si>
  <si>
    <t>1er SEMESTRE (ENE-JUN)</t>
  </si>
  <si>
    <t>(-)DEVOLUCIONES</t>
  </si>
  <si>
    <t>SUBTOTAL INGRESOS</t>
  </si>
  <si>
    <t>2do SEMESTRE (JUL-DIC)</t>
  </si>
  <si>
    <t>IMPUESTO RENTA x PAGAR SEMESTRE</t>
  </si>
  <si>
    <t>EGRESOS</t>
  </si>
  <si>
    <t>INGRESOS EXENTOS</t>
  </si>
  <si>
    <t>ACTIVIDADES EMPRESARIALES Y EXCLUYENTES</t>
  </si>
  <si>
    <t>OTROS INGRESOS EXENTOS</t>
  </si>
  <si>
    <t>DECIMO TERCER SUELDO</t>
  </si>
  <si>
    <t>DECIMO CUARTO SUELDO</t>
  </si>
  <si>
    <t>FONDO DE RESERVA</t>
  </si>
  <si>
    <t>BONIFICACIONES</t>
  </si>
  <si>
    <t>TOTAL DE INGRESOS EXENTOS</t>
  </si>
  <si>
    <t>RESUMEN DE GASTOS PERSONALES</t>
  </si>
  <si>
    <t>TIPO GASTO</t>
  </si>
  <si>
    <t>OTROS</t>
  </si>
  <si>
    <t>PENSIONES JUBILARES</t>
  </si>
  <si>
    <t>RET. FTE.</t>
  </si>
  <si>
    <t>Subtotal</t>
  </si>
  <si>
    <t>Formulario 103</t>
  </si>
  <si>
    <t>En Relacion Dependencia (Casillero 302)</t>
  </si>
  <si>
    <t>Valor Retenido (Casillero 352)</t>
  </si>
  <si>
    <t>I.V.A. en
compras por REEMBOLSO</t>
  </si>
  <si>
    <t>Total Valor a Pagar</t>
  </si>
  <si>
    <t>I.V.A. en
ventas por REEMBOLSO</t>
  </si>
  <si>
    <t>I.V.A. en
ventas GRAVABLES</t>
  </si>
  <si>
    <t>Total de IVA en Ventas</t>
  </si>
  <si>
    <t>Base Imponible de Ventas NO Gravables + EXPORTACIONES</t>
  </si>
  <si>
    <t>&lt;&lt; INGRESAR VALOR &gt;&gt;</t>
  </si>
  <si>
    <t>IMPUESTO A LIQUIDAR EN ESTE MES
(Mínimo campo 480 x tarifa IVA diferente de cero)</t>
  </si>
  <si>
    <t>IMPUESTO A LA RENTA x SEMESTRE</t>
  </si>
  <si>
    <t>(-) RETENCIONES EN LA FUENTE x SEMESTRE</t>
  </si>
  <si>
    <t>OTROS REL.DEP</t>
  </si>
  <si>
    <t>OTROS_EXE1</t>
  </si>
  <si>
    <t>OTROS_EXE2</t>
  </si>
  <si>
    <t>&lt;&lt;= Escribir CT del periodo anterior con simbolo negativo</t>
  </si>
  <si>
    <t>Codigo Docto.</t>
  </si>
  <si>
    <t>Estado Documento Electronico</t>
  </si>
  <si>
    <t>SI</t>
  </si>
  <si>
    <t>IRBPNR (%)</t>
  </si>
  <si>
    <t>IRBPNR CODIGO</t>
  </si>
  <si>
    <t>ICE (%)</t>
  </si>
  <si>
    <t>ICE CODIGO</t>
  </si>
  <si>
    <t>Impuesto IVA</t>
  </si>
  <si>
    <t>Valor Unitario</t>
  </si>
  <si>
    <t>Unidad de Medida</t>
  </si>
  <si>
    <t>Codigo
Secundario</t>
  </si>
  <si>
    <t>Codigo
Principal</t>
  </si>
  <si>
    <t>LISTADO DE PRODUCTOS O SERVICIOS</t>
  </si>
  <si>
    <t>MANTA</t>
  </si>
  <si>
    <t>CONSUMIDOR FINAL</t>
  </si>
  <si>
    <t>Clasificacion</t>
  </si>
  <si>
    <t>email</t>
  </si>
  <si>
    <t>Telefono</t>
  </si>
  <si>
    <t>Direccion</t>
  </si>
  <si>
    <t>Apellidos y Nombres / Razon Social</t>
  </si>
  <si>
    <t>Tipo Identificación</t>
  </si>
  <si>
    <t>LISTADO DE CONTRIBUYENTES</t>
  </si>
  <si>
    <t>EXENTO</t>
  </si>
  <si>
    <t>Valor Subtotal</t>
  </si>
  <si>
    <t>IRBPNR Valor Impuesto</t>
  </si>
  <si>
    <t>IRBPNR Valor Base</t>
  </si>
  <si>
    <t>Grava IRBPNR</t>
  </si>
  <si>
    <t>ICE Valor Impuesto</t>
  </si>
  <si>
    <t>ICE Valor Base</t>
  </si>
  <si>
    <t>Descuento Valor</t>
  </si>
  <si>
    <t>Descuento (%)</t>
  </si>
  <si>
    <t>Base 
Imponible</t>
  </si>
  <si>
    <t>Tipo Impuesto</t>
  </si>
  <si>
    <t>Precio</t>
  </si>
  <si>
    <t>Codigo Principal</t>
  </si>
  <si>
    <t>Autocodigo MAESTRO</t>
  </si>
  <si>
    <t>Modulo</t>
  </si>
  <si>
    <t>Autocodigo DETALLE</t>
  </si>
  <si>
    <t>DETALLE DE DOCUMENTOS EMITIDOS</t>
  </si>
  <si>
    <t>Autocodigo COMPRAS</t>
  </si>
  <si>
    <t>Estado Documento Electronico(1)</t>
  </si>
  <si>
    <t>Codigo Documento(2)</t>
  </si>
  <si>
    <t>Clase Documento(2)</t>
  </si>
  <si>
    <t>Estado Documento Electronico(2)</t>
  </si>
  <si>
    <t>Valor Descuentos (2)</t>
  </si>
  <si>
    <t>Valor Descuentos</t>
  </si>
  <si>
    <t>Codigo de PAIS</t>
  </si>
  <si>
    <t>Autocodigo REEMBOLSO</t>
  </si>
  <si>
    <t>Clase de Documento Electronico</t>
  </si>
  <si>
    <t>Nombre Comercial</t>
  </si>
  <si>
    <t>Dirección Matriz</t>
  </si>
  <si>
    <t>Telefonos</t>
  </si>
  <si>
    <t>Contribuyente Especial No.</t>
  </si>
  <si>
    <t>Obligado a llevar Contabilidad</t>
  </si>
  <si>
    <t>1-PRUEBAS</t>
  </si>
  <si>
    <t>Agente de Retencion No.</t>
  </si>
  <si>
    <t>Numero de Decimales (Cantidad)</t>
  </si>
  <si>
    <t>Numero de Decimales (Precio)</t>
  </si>
  <si>
    <t>Forma de Cobro Predeterminada</t>
  </si>
  <si>
    <t/>
  </si>
  <si>
    <t>Email de Respuesta</t>
  </si>
  <si>
    <t>Email de Contacto Principal</t>
  </si>
  <si>
    <t>Forma de Pago Predeterminada</t>
  </si>
  <si>
    <t>Configuracion y datos de la Empresa</t>
  </si>
  <si>
    <t>Email de Registro en Sistema:</t>
  </si>
  <si>
    <t>URL Servidor Generador ATS:</t>
  </si>
  <si>
    <t>DATOS DE USUARIO EN EL SERVIDOR WEB:</t>
  </si>
  <si>
    <t>Licencia de Generador ATS :</t>
  </si>
  <si>
    <t>Configuracion y datos para Emision Documentos Electronicos</t>
  </si>
  <si>
    <t>INFORMACION COMPLEMENTARIA DEL CONTRIBUYENTE EMISOR:</t>
  </si>
  <si>
    <t>Clave de Archivo firma (P12):</t>
  </si>
  <si>
    <t>Ruta firma electronica (P12):</t>
  </si>
  <si>
    <t>DIRECTORIOS DE ARCHIVOS EN PC LOCAL:</t>
  </si>
  <si>
    <t>DATOS DEL ARCHIVO DE FIRMA ELECTRONICA:</t>
  </si>
  <si>
    <t>Guardar Archivo Generado</t>
  </si>
  <si>
    <t>Guardar Archivo Firmado</t>
  </si>
  <si>
    <t>Guardar Archivo de Error</t>
  </si>
  <si>
    <t>Enviar email al Contribuyente:</t>
  </si>
  <si>
    <t>Recibir copia de email</t>
  </si>
  <si>
    <t>Aplica Propina Legal</t>
  </si>
  <si>
    <t>Porcentaje de Propina Legal</t>
  </si>
  <si>
    <t>SRI - Tipo de Ambiente</t>
  </si>
  <si>
    <t>dt_razsoc</t>
  </si>
  <si>
    <t>dt_repleg</t>
  </si>
  <si>
    <t>dt_cedrep</t>
  </si>
  <si>
    <t>dt_nomcon</t>
  </si>
  <si>
    <t>dt_ruccon</t>
  </si>
  <si>
    <t>dt_rucemp</t>
  </si>
  <si>
    <t>dt_est001</t>
  </si>
  <si>
    <t>dt_est002</t>
  </si>
  <si>
    <t>dt_est003</t>
  </si>
  <si>
    <t>dt_est004</t>
  </si>
  <si>
    <t>dt_est005</t>
  </si>
  <si>
    <t>dt_est006</t>
  </si>
  <si>
    <t>dt_est007</t>
  </si>
  <si>
    <t>dt_est008</t>
  </si>
  <si>
    <t>dt_est009</t>
  </si>
  <si>
    <t>dt_est010</t>
  </si>
  <si>
    <t>dt_percon</t>
  </si>
  <si>
    <t xml:space="preserve">Nombre de Grupos </t>
  </si>
  <si>
    <t>&lt;== cambie por su clave de generador ATS</t>
  </si>
  <si>
    <t>&lt;&lt; click AQUI para cambiar &gt;&gt;</t>
  </si>
  <si>
    <t>&lt;== modificar por su preferencia</t>
  </si>
  <si>
    <t>dt_rutserv</t>
  </si>
  <si>
    <t>dt_maireg</t>
  </si>
  <si>
    <t>dt_licats</t>
  </si>
  <si>
    <t>dt_nomcom</t>
  </si>
  <si>
    <t>dt_dirmat</t>
  </si>
  <si>
    <t>dt_numtel</t>
  </si>
  <si>
    <t>dt_maipri</t>
  </si>
  <si>
    <t>dt_oblcon</t>
  </si>
  <si>
    <t>dt_especi</t>
  </si>
  <si>
    <t>dt_agente</t>
  </si>
  <si>
    <t>cf_proleg</t>
  </si>
  <si>
    <t>cf_propor</t>
  </si>
  <si>
    <t>cf_sriamb</t>
  </si>
  <si>
    <t>cf_numdo1</t>
  </si>
  <si>
    <t>cf_numdo3</t>
  </si>
  <si>
    <t>cf_numdo4</t>
  </si>
  <si>
    <t>cf_numdo5</t>
  </si>
  <si>
    <t>cf_fircla</t>
  </si>
  <si>
    <t>cf_firrut</t>
  </si>
  <si>
    <t>cf_docrut</t>
  </si>
  <si>
    <t>cf_savfir</t>
  </si>
  <si>
    <t>cf_savgen</t>
  </si>
  <si>
    <t>cf_saverr</t>
  </si>
  <si>
    <t>cf_numpre</t>
  </si>
  <si>
    <t>cf_numcan</t>
  </si>
  <si>
    <t>cf_forcob</t>
  </si>
  <si>
    <t>cf_forpag</t>
  </si>
  <si>
    <t>cf_filCOM</t>
  </si>
  <si>
    <t>cf_filREE</t>
  </si>
  <si>
    <t>cf_filVEN</t>
  </si>
  <si>
    <t>cf_filEXP</t>
  </si>
  <si>
    <t>cf_filANU</t>
  </si>
  <si>
    <t>cf_filGAS</t>
  </si>
  <si>
    <t>cf_version</t>
  </si>
  <si>
    <t>Lista de Actividades del Negocio y/o Servicios</t>
  </si>
  <si>
    <t>cf_ivapor</t>
  </si>
  <si>
    <t>Porcentaje de IVA</t>
  </si>
  <si>
    <t>DATOS SRI</t>
  </si>
  <si>
    <t>DATOS CONTRIBUYENTE</t>
  </si>
  <si>
    <t>FECHA AUT. / No. AUTOR. / CLAVE ACCESO</t>
  </si>
  <si>
    <t>DIRECCION / TELEF. / EMAIL / PLACA / GUIA REM.</t>
  </si>
  <si>
    <t>DATOS INFO N/C</t>
  </si>
  <si>
    <t>NUM.DOC. / MOTIVO NC</t>
  </si>
  <si>
    <t>INFO 1 / INFO 2</t>
  </si>
  <si>
    <t>UTILES OFICINA</t>
  </si>
  <si>
    <t>Codigo Cuenta Contable</t>
  </si>
  <si>
    <t>Cuenta Contable</t>
  </si>
  <si>
    <t>Grupo</t>
  </si>
  <si>
    <t># Factura</t>
  </si>
  <si>
    <t># Liq.Compra</t>
  </si>
  <si>
    <t># N/Credito</t>
  </si>
  <si>
    <t># N/Debito</t>
  </si>
  <si>
    <t># Retencion</t>
  </si>
  <si>
    <t># Guia Remision</t>
  </si>
  <si>
    <t>cf_numdo2</t>
  </si>
  <si>
    <t>cf_numdo0</t>
  </si>
  <si>
    <t>Estab-Pto.Emision / Descripcion</t>
  </si>
  <si>
    <t>OTROS DATOS</t>
  </si>
  <si>
    <t>Parametros</t>
  </si>
  <si>
    <t>303-Honorarios profesionales y demás pagos por servicios relacionados con el título profesional</t>
  </si>
  <si>
    <t>304-Servicios predomina el intelecto no relacionados con el título profesional</t>
  </si>
  <si>
    <t>304A-Comisiones y demás pagos por servicios predomina intelecto no relacionados con el título profesional</t>
  </si>
  <si>
    <t>304B-Pagos a notarios y registradores de la propiedad y mercantil por sus actividades ejercidas como tales</t>
  </si>
  <si>
    <t>304C-Pagos a deportistas, entrenadores, árbitros, miembros del cuerpo técnico por sus actividades ejercidas como tales</t>
  </si>
  <si>
    <t>304D-Pagos a artistas por sus actividades ejercidas como tales</t>
  </si>
  <si>
    <t>304E-Honorarios y demás pagos por servicios de docencia</t>
  </si>
  <si>
    <t>307-Servicios predomina la mano de obra</t>
  </si>
  <si>
    <t>309-Servicios prestados por medios de comunicación y agencias de publicidad</t>
  </si>
  <si>
    <t>310-Servicio de transporte privado de pasajeros o transporte público o privado de carga</t>
  </si>
  <si>
    <t>311-Pagos a través de liquidación de compra (nivel cultural o rusticidad)</t>
  </si>
  <si>
    <t>312-Transferencia de bienes muebles de naturaleza corporal</t>
  </si>
  <si>
    <t>312B-Impuesto a la Renta único para la actividad de producción y cultivo de palma aceitera</t>
  </si>
  <si>
    <t>319-Cuotas de arrendamiento mercantil (prestado por sociedades), inclusive la de opción de compra</t>
  </si>
  <si>
    <t>320-Arrendamiento bienes inmuebles</t>
  </si>
  <si>
    <t>322-Seguros y reaseguros (primas y cesiones)</t>
  </si>
  <si>
    <t>323-Rendimientos financieros pagados a naturales y sociedades  (No a IFIs)</t>
  </si>
  <si>
    <t>323A-Rendimientos financieros depósitos Cta. Corriente</t>
  </si>
  <si>
    <t>323B1-Rendimientos financieros  depósitos Cta. Ahorros Sociedades</t>
  </si>
  <si>
    <t>323E-Rendimientos financieros depósito a plazo fijo  gravados</t>
  </si>
  <si>
    <t>323E2-Rendimientos financieros depósito a plazo fijo exentos</t>
  </si>
  <si>
    <t>323F-Rendimientos financieros operaciones de reporto - repos</t>
  </si>
  <si>
    <t>323G-Inversiones (captaciones) rendimientos distintos de aquellos pagados a IFIs</t>
  </si>
  <si>
    <t>323H-Rendimientos financieros  obligaciones</t>
  </si>
  <si>
    <t>323I-Rendimientos financieros  bonos convertible en acciones</t>
  </si>
  <si>
    <t xml:space="preserve">323M-Rendimientos financieros : Inversiones en títulos valores en renta fija gravados </t>
  </si>
  <si>
    <t>323N-Rendimientos financieros  Inversiones en títulos valores en renta fija exentos</t>
  </si>
  <si>
    <t>323O-Intereses y demás rendimientos financieros pagados a bancos y otras entidades sometidas al control de la Superintendencia de Bancos y de la Economía Popular y Solidaria</t>
  </si>
  <si>
    <t>323P- Intereses pagados por entidades del sector público a favor de sujetos pasivos</t>
  </si>
  <si>
    <t xml:space="preserve">323Q-Otros intereses y rendimientos financieros gravados </t>
  </si>
  <si>
    <t>323R-Otros intereses y rendimientos financieros exentos</t>
  </si>
  <si>
    <t>323S-Pagos y créditos en cuenta efectuados por el BCE y los depósitos centralizados de valores, en calidad de intermediarios, a instituciones del sistema financiero por cuenta de otras personas naturales y sociedades</t>
  </si>
  <si>
    <t>323T-Rendimientos financieros originados en la deuda pública ecuatoriana</t>
  </si>
  <si>
    <t>323U-Rendimientos financieros originados en títulos valores de obligaciones de 360 días o más para el financiamiento de proyectos públicos en asociación público-privada</t>
  </si>
  <si>
    <t xml:space="preserve">324A- Intereses en operaciones de crédito entre instituciones del sistema financiero y entidades economía popular y solidaria. </t>
  </si>
  <si>
    <t>324B-Inversiones entre instituciones del sistema financiero y entidades economía popular y solidaria</t>
  </si>
  <si>
    <t>324C-Pagos y créditos en cuenta efectuados por el BCE y los depósitos centralizados de valores, en calidad de intermediarios, a instituciones del sistema financiero por cuenta de otras instituciones del sistema financiero</t>
  </si>
  <si>
    <t>325-Anticipo dividendos (22% o 25%)</t>
  </si>
  <si>
    <t>325A-Préstamos accionistas, beneficiarios o partícipes residentes o establecidos en el Ecuador (22% o 25%)</t>
  </si>
  <si>
    <t>326-Dividendos distribuidos que correspondan al impuesto a la renta único establecido en el art. 27 de la LRTI (Hasta 25% y conforme la Resolución NAC-DGERCGC20-000000013)</t>
  </si>
  <si>
    <t>327-Dividendos distribuidos a personas naturales residentes (Hasta 25% y conforme la Resolución NAC-DGERCGC20-000000013)</t>
  </si>
  <si>
    <t>328-Dividendos distribuidos a sociedades residentes</t>
  </si>
  <si>
    <t>329-dividendos distribuidos a fideicomisos residentes</t>
  </si>
  <si>
    <t>330-Dividendos gravados distribuidos en acciones (reinversión de utilidades sin derecho a reducción tarifa IR)</t>
  </si>
  <si>
    <t>331-Dividendos en acciones (capitalización de utilidades)</t>
  </si>
  <si>
    <t>332B-Compra de bienes inmuebles</t>
  </si>
  <si>
    <t>332C-Transporte público de pasajeros</t>
  </si>
  <si>
    <t>332D-Pagos en el país por transporte de pasajeros o transporte internacional de carga, a compañías nacionales o extranjeras de aviación o marítimas</t>
  </si>
  <si>
    <t>332E-Valores entregados por las cooperativas de transporte a sus socios</t>
  </si>
  <si>
    <t>332F-Compraventa de divisas distintas al dólar de los Estados Unidos de América</t>
  </si>
  <si>
    <t xml:space="preserve">332G-Pagos con tarjeta de crédito </t>
  </si>
  <si>
    <t>332H-Pago al exterior tarjeta de crédito reportada por la Emisora de tarjeta de crédito, solo recap</t>
  </si>
  <si>
    <t>332I-Pago a través de convenio de debito (Clientes IFI`s)</t>
  </si>
  <si>
    <t>333-Ganancia en la enajenación de derechos representativos de capital u otros derechos que permitan la exploración, explotación, concesión o similares de sociedades, que se coticen en bolsa de valores del Ecuador</t>
  </si>
  <si>
    <t>334-Contraprestación producida por la enajenación de derechos representativos de capital u otros derechos que permitan la exploración, explotación, concesión o similares de sociedades, no cotizados en bolsa de valores del Ecuador</t>
  </si>
  <si>
    <t>336-Venta de combustibles a comercializadoras</t>
  </si>
  <si>
    <t>337-Venta de combustibles a distribuidores</t>
  </si>
  <si>
    <t>338-Producción y venta local de banano producido o no por el mismo sujeto pasivo (1% a 2%)</t>
  </si>
  <si>
    <t>339-Liquidación impuesto único a la venta local de banano de producción propia</t>
  </si>
  <si>
    <t>340-Impuesto único a la exportación de banano de producción propia - componente 1</t>
  </si>
  <si>
    <t>341-Impuesto único a la exportación de banano de producción propia - componente 2</t>
  </si>
  <si>
    <t>342-Impuesto único a la exportación de banano producido por terceros</t>
  </si>
  <si>
    <t>343A-Energía eléctrica</t>
  </si>
  <si>
    <t>343B-Actividades de construcción de obra material inmueble, urbanización, lotización o actividades similares</t>
  </si>
  <si>
    <t>344-Otras retenciones aplicables el 2%</t>
  </si>
  <si>
    <t>344A-Pago local tarjeta de crédito /débito reportada por la Emisora de tarjeta de crédito / entidades del sistema financiero</t>
  </si>
  <si>
    <t>344B-Adquisición de sustancias minerales dentro del territorio nacional</t>
  </si>
  <si>
    <t>3440-Otras retenciones aplicables el 2.75%</t>
  </si>
  <si>
    <t>345-Otras retenciones aplicables el 8%</t>
  </si>
  <si>
    <t xml:space="preserve">346A-Otras ganancias de capital distintas de enajenación de derechos representativos de capital </t>
  </si>
  <si>
    <t xml:space="preserve">346B-Donaciones en dinero -Impuesto a la donaciones </t>
  </si>
  <si>
    <t>346D-Retención a cargo del propio sujeto pasivo por la comercialización de productos forestales (0% o 10%)</t>
  </si>
  <si>
    <t>348-Impuesto único a ingresos provenientes de actividades agropecuarias en etapa de producción / comercialización local o exportación</t>
  </si>
  <si>
    <t>351-Regimen Microempresas (a partir de Enero 2021)</t>
  </si>
  <si>
    <t>504-Pago a no residentes- Dividendos distribuidos a personas naturales (domicilados o no en paraiso fiscal) o a sociedades sin beneficiario efectivo persona natural residente en Ecuador</t>
  </si>
  <si>
    <t>504A-Pago al exterior - Dividendos a sociedades con beneficiario efectivo persona natural residente en el Ecuador (no domiciliada en paraísos fiscales o regímenes de menor imposición) / o incumpliendo el deber de informar la composición societaria</t>
  </si>
  <si>
    <t>504B-Pago a no residentes - Dividendos a fideicomisos con beneficiario efectivo persona natural residente en el Ecuador (no domiciliada en paraísos fiscales o regímenes de menor imposición) /o incumpliendo el deber de informar la composición societaria</t>
  </si>
  <si>
    <t>504C-Pago a no residentes - Dividendos a sociedades domiciladas en paraísos fiscales o regímenes de menor imposición (con beneficiario efectivo persona natural residente en el Ecuador)</t>
  </si>
  <si>
    <t>504D-Pago a no residentes - Dividendos a fideicomisos domiciladas en paraísos fiscales o regímenes de menor imposición (con beneficiario efectivo persona natural residente en el Ecuador)</t>
  </si>
  <si>
    <t>504E-Pago a no residentes - Anticipo dividendos (no domiciliada en paraísos fiscales o regímenes de menor imposición) (22% o 25%)</t>
  </si>
  <si>
    <t>504F-Pago a no residentes - Anticipo dividendos (domiciliadas en paraísos fiscales o regímenes de menor imposición)  (22% o 25% o 28%)</t>
  </si>
  <si>
    <t>504G-Pago a no residentes - Préstamos accionistas, beneficiarios o partìcipes (no domiciladas en paraísos fiscales o regímenes de menor imposición) (22% o 25%)</t>
  </si>
  <si>
    <t>504H-Pago a no residentes - Préstamos accionistas, beneficiarios o partìcipes (domiciladas en paraísos fiscales o regímenes de menor imposición) (22% o 25%o 28%)</t>
  </si>
  <si>
    <t>504I-Pago a no residentes - Préstamos no comerciales a partes relacionadas  (no domiciladas en paraísos fiscales o regímenes de menor imposición) (22% o 25%)</t>
  </si>
  <si>
    <t>504J-Pago a no residentes - Préstamos no comerciales a partes relacionadas  (domiciladas en paraísos fiscales o regímenes de menor imposición) (22% o 25% o 28%)</t>
  </si>
  <si>
    <t>505A-Pago a no residentes – Intereses de créditos de Instituciones Financieras del exterior (0% o 25%)</t>
  </si>
  <si>
    <t>505B-Pago a no residentes – Intereses de créditos de gobierno a gobierno (0% o 25%)</t>
  </si>
  <si>
    <t>505C-Pago a no residentes – Intereses de créditos de organismos multilaterales (0% o 25%)</t>
  </si>
  <si>
    <t>505D-Pago a no residentes - Intereses por financiamiento de proveedores externos</t>
  </si>
  <si>
    <t>505E-Pago a no residentes - Intereses de otros créditos externos</t>
  </si>
  <si>
    <t>520E-Pago a no residentes - Por las empresas de transporte marítimo o aéreo y por empresas pesqueras de alta mar, por su actividad.</t>
  </si>
  <si>
    <t>521-Pago a no residentes - Enajenación de derechos representativos de capital u otros derechos que permitan la exploración, explotación, concesión o similares de sociedades  (1% o 10%)</t>
  </si>
  <si>
    <t xml:space="preserve">524-Pago a no residentes - Otros pagos al exterior no sujetos a retención </t>
  </si>
  <si>
    <t>525-Pago a no residentes- Donaciones en dinero -Impuesto a la donaciones</t>
  </si>
  <si>
    <t>Consumidor Final (Predeterminado)</t>
  </si>
  <si>
    <t>cf_clipre</t>
  </si>
  <si>
    <t>CAMPO BUSQUEDA</t>
  </si>
  <si>
    <t>CLIENTE</t>
  </si>
  <si>
    <t>No Objeto IVA</t>
  </si>
  <si>
    <t>PVP Sin Subsidio</t>
  </si>
  <si>
    <t>Atributos</t>
  </si>
  <si>
    <t>Atributos Adicionales</t>
  </si>
  <si>
    <t>Fecha Movimiento</t>
  </si>
  <si>
    <t>Grava ICE</t>
  </si>
  <si>
    <t>ID</t>
  </si>
  <si>
    <t>Tarifas de porcentajes de IVA</t>
  </si>
  <si>
    <t>0%</t>
  </si>
  <si>
    <t>12%</t>
  </si>
  <si>
    <t>Codigo Auxiliar</t>
  </si>
  <si>
    <t>ID Articulo</t>
  </si>
  <si>
    <t>PVP sin Subsidio</t>
  </si>
  <si>
    <t>Tabla de Codigos de Impuestos ICE</t>
  </si>
  <si>
    <t>3680-ICE FUNDAS PLÁSTICAS</t>
  </si>
  <si>
    <t>Tabla de Codigos de Impuestos IRBPNR</t>
  </si>
  <si>
    <t>3011-ICE-CIGARRILLOS RUBIOS</t>
  </si>
  <si>
    <t>3021-ICE-CIGARRILLOS NEGROS</t>
  </si>
  <si>
    <t>3023-ICE-PRODUCTOS DEL TABACO Y SUCEDÁNEOS DEL TABACO EXCEPTO CIGARRILLOS</t>
  </si>
  <si>
    <t>3031-ICE-BEBIDAS ALCOHÓLICAS</t>
  </si>
  <si>
    <t>3033-ICE-ALCOHOL</t>
  </si>
  <si>
    <t>3041-ICE-CERVEZA INDUSTRIAL</t>
  </si>
  <si>
    <t>3043-ICE-CERVEZA ARTESANAL</t>
  </si>
  <si>
    <t>3051-ICE-BEBIDA X CONFIRMAR</t>
  </si>
  <si>
    <t>3053-ICE-BEBIDAS GASEOSAS CON ALTO CONTENIDO DE AZUCAR</t>
  </si>
  <si>
    <t>3054-ICE-BEBIDAS GASEOSAS CON BAJO CONTENIDO DE AZUCAR</t>
  </si>
  <si>
    <t>Valor Fijo</t>
  </si>
  <si>
    <t>Porcentaje</t>
  </si>
  <si>
    <t>5001-IMPUESTO REDIMIBLE A LAS BOTELLAS PLASTICAS</t>
  </si>
  <si>
    <t>(%) Descto.</t>
  </si>
  <si>
    <t>ICE EN IVA</t>
  </si>
  <si>
    <t>Placa / Matricula</t>
  </si>
  <si>
    <t>9999999999999</t>
  </si>
  <si>
    <t>F-Consumidor Final</t>
  </si>
  <si>
    <t>01-Persona Natural</t>
  </si>
  <si>
    <t>Ultimo Numero Secuencial</t>
  </si>
  <si>
    <t>cf_filDET</t>
  </si>
  <si>
    <t>cf_filCON</t>
  </si>
  <si>
    <t>No. ID / RUC</t>
  </si>
  <si>
    <t>No. Documento / Factura</t>
  </si>
  <si>
    <t>FORMA DE COBRO/PAGO</t>
  </si>
  <si>
    <t>Tipo Transaccion</t>
  </si>
  <si>
    <t>No. de documento
Cheque/Voucher/Ret.</t>
  </si>
  <si>
    <t>No.  Asiento Contable</t>
  </si>
  <si>
    <t>Nombre y/o Institucion</t>
  </si>
  <si>
    <t>No. Documento / Factura SRI</t>
  </si>
  <si>
    <t>PARAMETROS DE CONTROL INTERNO DE HOJAS DEL SISTEMA (NO MODIFICAR)</t>
  </si>
  <si>
    <t>cf_numING</t>
  </si>
  <si>
    <t>cf_numEGR</t>
  </si>
  <si>
    <t>Autocodigo Documentos</t>
  </si>
  <si>
    <t>Autocodigo Modulo</t>
  </si>
  <si>
    <t>Autocodigo TESORERIA</t>
  </si>
  <si>
    <t>Valor Transaccion</t>
  </si>
  <si>
    <t>Observaciones</t>
  </si>
  <si>
    <t>2</t>
  </si>
  <si>
    <t>Activo</t>
  </si>
  <si>
    <t>S</t>
  </si>
  <si>
    <t>Numero de Asiento</t>
  </si>
  <si>
    <t>Concepto Contable</t>
  </si>
  <si>
    <t>Estado</t>
  </si>
  <si>
    <t>Contabilizacion de la VENTA</t>
  </si>
  <si>
    <t>VENTAS DE SERVICIOS</t>
  </si>
  <si>
    <t>VENTAS DE BIENES + ENVIOS</t>
  </si>
  <si>
    <t>Numero de Transaccion</t>
  </si>
  <si>
    <t>Autocodigo Secuencial</t>
  </si>
  <si>
    <t>Fecha Transaccion</t>
  </si>
  <si>
    <t>Descripcion Cuenta</t>
  </si>
  <si>
    <t>Valor DEBE</t>
  </si>
  <si>
    <t>Valor HABER</t>
  </si>
  <si>
    <t>Glosa</t>
  </si>
  <si>
    <t>Nota Explicativa NIIFs</t>
  </si>
  <si>
    <t>cf_filDIA</t>
  </si>
  <si>
    <t>cf_numDIA</t>
  </si>
  <si>
    <t>Asientos de Diario Contable</t>
  </si>
  <si>
    <t>Hoja Diario</t>
  </si>
  <si>
    <t>Hoja Detalles</t>
  </si>
  <si>
    <t>Hoja Contribuyentes</t>
  </si>
  <si>
    <t>Hoja GASTOS</t>
  </si>
  <si>
    <t>Hoja ANULADOS</t>
  </si>
  <si>
    <t>Hoja EXPORTACIONES</t>
  </si>
  <si>
    <t>Hoja VENTAS</t>
  </si>
  <si>
    <t>Hoja REEMBOLSOS</t>
  </si>
  <si>
    <t>Hoja COMPRAS</t>
  </si>
  <si>
    <t>cf_filTES</t>
  </si>
  <si>
    <t>Hoja Tesoreria</t>
  </si>
  <si>
    <t>Comprobantes de Egresos</t>
  </si>
  <si>
    <t>Comprobantes de Ingresos</t>
  </si>
  <si>
    <t>NUMERACION CONTABILIDAD:</t>
  </si>
  <si>
    <t>NUMERACION TESORERIA:</t>
  </si>
  <si>
    <t>ND</t>
  </si>
  <si>
    <t>SUMINISTROS DE OFICINA</t>
  </si>
  <si>
    <t>ENTRADAS</t>
  </si>
  <si>
    <t>SALIDAS (Devoluciones)</t>
  </si>
  <si>
    <t>Tabla de Grupos Contables para generar Asientos Automaticos RETENCIONES</t>
  </si>
  <si>
    <t>Tabla de Grupos Contables para generar Asientos Automaticos INGRESOS y/o VENTAS</t>
  </si>
  <si>
    <t>Tabla de Grupos Contables para generar Asientos Automaticos COMPRAS y/o GASTOS</t>
  </si>
  <si>
    <t>HONORARIOS PROFESIONALES</t>
  </si>
  <si>
    <t>TRANSPORTE</t>
  </si>
  <si>
    <t>VIATICOS</t>
  </si>
  <si>
    <t>&lt;p1&gt;12334444&lt;/p1&gt;</t>
  </si>
  <si>
    <t>RETENCION 1 COMPRA(emitida)</t>
  </si>
  <si>
    <t>RETENCION 2 COMPRA(emitida)</t>
  </si>
  <si>
    <t>RETENCION 1 VENTA(recibida)</t>
  </si>
  <si>
    <t>RETENCION 2 VENTA(recibida)</t>
  </si>
  <si>
    <t>cc_ret1com</t>
  </si>
  <si>
    <t>cc_ret2com</t>
  </si>
  <si>
    <t>cc_ret1ven</t>
  </si>
  <si>
    <t>cc_ret2ven</t>
  </si>
  <si>
    <t>DATOS CONTRIBUYENTE (1)</t>
  </si>
  <si>
    <t>DATOS SRI (1)</t>
  </si>
  <si>
    <t>Suma de Devoluciones</t>
  </si>
  <si>
    <t>DATOS CONFIGURACION ESTABLECIMIENTOS</t>
  </si>
  <si>
    <t>GUIA DE REMISION / TRANSPORTISTA</t>
  </si>
  <si>
    <t>Otros Valores</t>
  </si>
  <si>
    <t>PARA CxCOBRAR</t>
  </si>
  <si>
    <t>PARA CxPAGAR</t>
  </si>
  <si>
    <t>DATOS SRI (2)</t>
  </si>
  <si>
    <t>DATOS CONTRIBUYENTE (2)</t>
  </si>
  <si>
    <t>OTROS DATOS(2)</t>
  </si>
  <si>
    <t>OTROS DATOS(1)</t>
  </si>
  <si>
    <t>Tipo de Regimen SRI</t>
  </si>
  <si>
    <t>dt_tpregi</t>
  </si>
  <si>
    <t>NUMERACION DETALLE HOJAS:</t>
  </si>
  <si>
    <t>Valor Retenido en ISD</t>
  </si>
  <si>
    <t>Valor Retención  IVA 100% Sector Publico</t>
  </si>
  <si>
    <t>Monto de IRBPNR</t>
  </si>
  <si>
    <t>Monto de OTROS</t>
  </si>
  <si>
    <t>&lt;p2&gt;12334444&lt;/p1&gt;</t>
  </si>
  <si>
    <t>Total Subsidios</t>
  </si>
  <si>
    <t>Monto de Propina + IRBPNR + OTROS</t>
  </si>
  <si>
    <t>8%</t>
  </si>
  <si>
    <t>Ruta Comprobantes Autorizados</t>
  </si>
  <si>
    <t>cf_mailPort</t>
  </si>
  <si>
    <t>cf_mailHost</t>
  </si>
  <si>
    <t>Puerto de Salida SMTP</t>
  </si>
  <si>
    <t>Nombre Host SMTP</t>
  </si>
  <si>
    <t>cf_mailUser</t>
  </si>
  <si>
    <t>Nombre de Usuario</t>
  </si>
  <si>
    <t>Clave de Usuario</t>
  </si>
  <si>
    <t>cf_mailConn</t>
  </si>
  <si>
    <t>cf_mailPass</t>
  </si>
  <si>
    <t>cf_mailAsun</t>
  </si>
  <si>
    <t>&lt;~TipoDocumento~&gt; Electronica de &lt;~NombreEmisor~&gt; - No. &lt;~NumeroDocumento~&gt;</t>
  </si>
  <si>
    <t>cf_mailBody</t>
  </si>
  <si>
    <t>Conexion Segura SSL</t>
  </si>
  <si>
    <t>cf_mailSend</t>
  </si>
  <si>
    <t>cf_mailCopy</t>
  </si>
  <si>
    <t>cf_mailResp</t>
  </si>
  <si>
    <t>587</t>
  </si>
  <si>
    <t>cf_mailServ</t>
  </si>
  <si>
    <t>Servidor de envio de Correo</t>
  </si>
  <si>
    <t>MS-OUTLOOK</t>
  </si>
  <si>
    <t>Estimad@ Cliente: &lt;~NombreReceptor~&gt;&lt;br&gt;
&lt;br&gt;
Adjunto sirvase encontrar el documento electronico emitido con el siguiente detalle:&lt;br&gt;
&lt;~TipoDocumento~&gt; No.: &lt;~NumeroDocumento~&gt;&lt;br&gt;
Fecha de Emision : &lt;~FechaEmision~&gt;&lt;br&gt;
&lt;br&gt;
El documento pdf y xml de su documento se encuentra adjunto a este correo.&lt;br&gt;
Gracias por preferirnos.&lt;br&gt;
&lt;br&gt;
Saludos cordiales&lt;br&gt;
&lt;br&gt;
&lt;~NombreEmisor~&gt;&lt;br&gt;
Direccion: &lt;~DireccionEmisor~&gt;&lt;br&gt;
Telf(s): &lt;~TelefonoEmisor~&gt;&lt;br&gt;
Email: &lt;~EmailEmisor~&gt;&lt;br&gt;
&lt;br&gt;
NOTA: Este es un correo automatico y NO es necesario responder.&lt;br&gt;</t>
  </si>
  <si>
    <t>DocCompras</t>
  </si>
  <si>
    <t>Sustentos</t>
  </si>
  <si>
    <t>FormaPagos</t>
  </si>
  <si>
    <t>N</t>
  </si>
  <si>
    <t>14%</t>
  </si>
  <si>
    <t>DocVentas</t>
  </si>
  <si>
    <t>Ret-FUENTE</t>
  </si>
  <si>
    <t>Paises-RGEN</t>
  </si>
  <si>
    <t>Paises-PFIS</t>
  </si>
  <si>
    <t>Paises-EXP</t>
  </si>
  <si>
    <t>Tipos-EXP</t>
  </si>
  <si>
    <t>Distritos</t>
  </si>
  <si>
    <t>Ing-Exterior</t>
  </si>
  <si>
    <t>Ret-ICE</t>
  </si>
  <si>
    <t>Ret-IRBPNR</t>
  </si>
  <si>
    <t>Abreviacion  
Inicial</t>
  </si>
  <si>
    <t>DC</t>
  </si>
  <si>
    <t>DR</t>
  </si>
  <si>
    <t>DV</t>
  </si>
  <si>
    <t>DE</t>
  </si>
  <si>
    <t>DA</t>
  </si>
  <si>
    <t>DG</t>
  </si>
  <si>
    <t>DD</t>
  </si>
  <si>
    <t>DT</t>
  </si>
  <si>
    <t>DS</t>
  </si>
  <si>
    <t>CD</t>
  </si>
  <si>
    <t>RIMPE EMPRENDEDOR</t>
  </si>
  <si>
    <t>C:\SRIanexos\Documentos\Autorizados</t>
  </si>
  <si>
    <t>Formatos de Impresión RIDE ==&gt;&gt;</t>
  </si>
  <si>
    <t>|</t>
  </si>
  <si>
    <t>Formato Impresión Contribuyente =&gt;</t>
  </si>
  <si>
    <t>cf_printride</t>
  </si>
  <si>
    <t>cf_printform</t>
  </si>
  <si>
    <t>RIDE01a</t>
  </si>
  <si>
    <t>RIDE03a</t>
  </si>
  <si>
    <t>RIDE04a</t>
  </si>
  <si>
    <t>RIDE05a</t>
  </si>
  <si>
    <t>RIDE07a</t>
  </si>
  <si>
    <t>RIDE06a</t>
  </si>
  <si>
    <t>TI</t>
  </si>
  <si>
    <t>TE</t>
  </si>
  <si>
    <t>cf_filART</t>
  </si>
  <si>
    <t>Hoja Articulos</t>
  </si>
  <si>
    <t>INFORMACION DE LA RETENCION ELECTRONICA EMITIDA</t>
  </si>
  <si>
    <t>INFORMACION DE LA LIQUIDACION DE COMPRA BIENES Y SERVICIOS ELECTRONICA EMITIDA</t>
  </si>
  <si>
    <t>----------------- Bases Imponibles para Formulario 104 ------------------</t>
  </si>
  <si>
    <t>------ Bases Imponibles del documento de COMPRA ------</t>
  </si>
  <si>
    <t>------------------------------ Informacion del documento de Retencion ---------------------------------</t>
  </si>
  <si>
    <t>----------------------------------- Datos de Retenciones IVA en Compras -----------------------------------</t>
  </si>
  <si>
    <t>---------- Informacion de COMPRAS para CONTABILIDAD -----------</t>
  </si>
  <si>
    <t>------ Informacion de RETENCIONES para CONTABILIDAD ------</t>
  </si>
  <si>
    <t>------------------------   Datos de Pagos de Facturas Compras  ----------------------------------</t>
  </si>
  <si>
    <t>Código Form. (104)  1</t>
  </si>
  <si>
    <t>Código Form. (104)  2</t>
  </si>
  <si>
    <t>Código Form. (104)  3</t>
  </si>
  <si>
    <t>Establecimiento Ret.</t>
  </si>
  <si>
    <t>Punto Emisión Ret.</t>
  </si>
  <si>
    <t>Numero Secuencial Ret.</t>
  </si>
  <si>
    <t>Numero Autorización S.R.I. Retención</t>
  </si>
  <si>
    <t>Contabilizacion de la COMPRA</t>
  </si>
  <si>
    <t>Contabilizacion de la RETENCION Recibida</t>
  </si>
  <si>
    <t>Contabilizacion de la RETENCION EMITIDA</t>
  </si>
  <si>
    <t>INFORMACION DEL DOCUMENTO ELECTRONICO EMITIDO (FACTURA / NOTA CREDITO / NOTA DEBITO)</t>
  </si>
  <si>
    <t>DATOS INFORMACION ADICIONAL</t>
  </si>
  <si>
    <t>DATOS INFORMACION ADICIONAL (2)</t>
  </si>
  <si>
    <t>DATOS INFORMACION ADICIONAL (1)</t>
  </si>
  <si>
    <t>------- Contabilizacion del documento de Retencion -------</t>
  </si>
  <si>
    <t xml:space="preserve"> ------------------------------------------ Totales del documento soporte del REEMBOLSO  ----------------------------------------</t>
  </si>
  <si>
    <t>TOTAL ANUAL</t>
  </si>
  <si>
    <t>IMPUESTO A LA RENTA SOBRE FRACCION BASICA</t>
  </si>
  <si>
    <t>IMPUESTO A LA RENTA SOBRE FRACCION EXCEDENTE</t>
  </si>
  <si>
    <t>Limite Inferior</t>
  </si>
  <si>
    <t>Limite Superior</t>
  </si>
  <si>
    <t>Tipo Marginal %</t>
  </si>
  <si>
    <t>INGRESOS</t>
  </si>
  <si>
    <t>TOTAL DE INGRESOS GRAVABLES</t>
  </si>
  <si>
    <t>ICE en IVA</t>
  </si>
  <si>
    <t>332-Otras compras de bienes y servicios no sujetas a retención (incluye régimen RIMPE - Negocios Populares, para este caso aplica con cualquier forma de pago inclusive los pagos que deban realizar las tarjetas de crédito/débito)</t>
  </si>
  <si>
    <t>343-Otras retenciones aplicables el 1% (incluye régimen RIMPE - Emprendedores, para este caso aplica con cualquier forma de pago inclusive los pagos que deban realizar las tarjetas de crédito/débito)</t>
  </si>
  <si>
    <t>346-Otras retenciones aplicables a otros porcentajes (varios porcentajes)</t>
  </si>
  <si>
    <t>x</t>
  </si>
  <si>
    <t>500-Pago a no residentes - Rentas Inmobiliarias (25% o 37%)</t>
  </si>
  <si>
    <t>501-Pago a no residentes - Beneficios/Servicios  Empresariales (25% o 37%)</t>
  </si>
  <si>
    <t>501A-Pago a no residentes - Servicios técnicos, administrativos o de consultoría y regalías (25% o 37%)</t>
  </si>
  <si>
    <t>503-Pago a no residentes- Navegación Marítima y/o aérea (0%  o 25% o 37%)</t>
  </si>
  <si>
    <t>505-Pago a no residentes - Rendimientos financieros (25% o 37%)</t>
  </si>
  <si>
    <t>523A-Pago a no residentes - Seguros y reaseguros (primas y cesiones) (0% o 22% o 37%)</t>
  </si>
  <si>
    <t>dt_licele07</t>
  </si>
  <si>
    <t>dt_licele01</t>
  </si>
  <si>
    <t>dt_licele03</t>
  </si>
  <si>
    <t>Licencia Emisor FACTURAS:</t>
  </si>
  <si>
    <t>Licencia Emisor LIQ.COMPRAS:</t>
  </si>
  <si>
    <t>Licencia Emisor RETENCIONES:</t>
  </si>
  <si>
    <t>&lt;== cambie por su clave para emitir RETENCIONES electronicas</t>
  </si>
  <si>
    <t>&lt;== cambie por su clave para emitir LIQ.COMPRAS electronicas</t>
  </si>
  <si>
    <t>&lt;== cambie por su clave para emitir FACTURAS electronicas</t>
  </si>
  <si>
    <t>Guardar datos de Clientes</t>
  </si>
  <si>
    <t>Guardar datos de Proveedores</t>
  </si>
  <si>
    <t>cf_savpro</t>
  </si>
  <si>
    <t>cf_savcli</t>
  </si>
  <si>
    <t>HA</t>
  </si>
  <si>
    <t>HC</t>
  </si>
  <si>
    <t>Ventas locales (excluye activos fijos) gravadas tarifa diferente de cero</t>
  </si>
  <si>
    <t>Ventas de activos fijos gravadas tarifa diferente de cero</t>
  </si>
  <si>
    <t>Ventas locales (excluye activos fijos) gravadas tarifa diferente de cero (TARIFA VARIABLE)</t>
  </si>
  <si>
    <t>IVA generado en la diferencia entre ventas y notas de crédito con distinta tarifa (ajuste a pagar)</t>
  </si>
  <si>
    <t>IVA generado en la diferencia entre ventas y notas de crédito con distinta tarifa (ajuste a favor)</t>
  </si>
  <si>
    <t>Ventas locales (excluye activos fijos) gravadas tarifa 0% que no dan derecho a crédito tributario</t>
  </si>
  <si>
    <t>Ventas de activos fijos gravadas tarifa 0% que no dan derecho a crédito tributario</t>
  </si>
  <si>
    <t>Ventas locales (excluye activos fijos) gravadas tarifa 0% que dan derecho a crédito tributario</t>
  </si>
  <si>
    <t>Ventas de activos fijos gravadas tarifa 0% que dan derecho a crédito tributario</t>
  </si>
  <si>
    <t>Exportaciones de bienes</t>
  </si>
  <si>
    <t>Exportaciones de servicios y/o derechos</t>
  </si>
  <si>
    <t>410</t>
  </si>
  <si>
    <t>420</t>
  </si>
  <si>
    <t>430</t>
  </si>
  <si>
    <t>Transferencias no objeto o exentas de IVA</t>
  </si>
  <si>
    <t xml:space="preserve">Notas de crédito tarifa 0% por compensar próximo mes </t>
  </si>
  <si>
    <t>Notas de crédito tarifa diferente de cero por compensar próximo mes</t>
  </si>
  <si>
    <t>Ingresos por reembolso como intermediario / valores facturados por operadoras de transporte / ingresos obtenidos por parte de las sociedades de gestión colectiva como intermediarios (informativo)</t>
  </si>
  <si>
    <t>530</t>
  </si>
  <si>
    <t>533</t>
  </si>
  <si>
    <t>534</t>
  </si>
  <si>
    <t>Adquisiciones y pagos (excluye activos fijos) gravados tarifa diferente de cero (con derecho a crédito tributario)</t>
  </si>
  <si>
    <t xml:space="preserve">Adquisiciones locales de activos fijos gravados tarifa diferente de cero (con derecho a crédito tributario) </t>
  </si>
  <si>
    <t>Otras adquisiciones y pagos gravados tarifa diferente de cero (sin derecho a crédito tributario)</t>
  </si>
  <si>
    <t>Importaciones de servicios y/o derechos gravados tarifa diferente de cero</t>
  </si>
  <si>
    <t>Importaciones de bienes (excluye activos fijos) gravados tarifa diferente de cero</t>
  </si>
  <si>
    <t>Importaciones de activos fijos gravados tarifa diferente de cero</t>
  </si>
  <si>
    <t>IVA generado en la diferencia entre adquisiciones y notas de crédito con distinta tarifa (ajuste en positivo al crédito tributario)</t>
  </si>
  <si>
    <t>IVA generado en la diferencia entre adquisiciones y notas de crédito con distinta tarifa (ajuste en negativo al crédito tributario)</t>
  </si>
  <si>
    <t>Importaciones de bienes (incluye activos fijos) gravados tarifa 0%</t>
  </si>
  <si>
    <t>Adquisiciones y pagos (incluye activos fijos) gravados tarifa 0%</t>
  </si>
  <si>
    <t>Adquisiciones realizadas a contribuyentes RISE (hasta diciembre 2021), NEGOCIOS POPULARES  (desde enero 2022)</t>
  </si>
  <si>
    <t>Adquisiciones no objeto de IVA</t>
  </si>
  <si>
    <t>Adquisiciones exentas del pago de IVA</t>
  </si>
  <si>
    <t>Notas de crédito tarifa 0% por compensar próximo mes</t>
  </si>
  <si>
    <t>Notas de crédito tarifa  diferente de cero por compensar próximo mes</t>
  </si>
  <si>
    <t>Pagos netos por reembolso como intermediario / valores facturados por socios a operadoras de transporte / pagos realizados por parte de las sociedades de gestión colectiva como intermediarios (informativo)</t>
  </si>
  <si>
    <t>TOTAL LIQUIDACIONES DE COMPRA EMITIDAS (por pago tarifa 0% de IVA o por reembolsos en relacion de dependencia)</t>
  </si>
  <si>
    <t>Impuesto causado</t>
  </si>
  <si>
    <t>Crédito tributario aplicable en este período</t>
  </si>
  <si>
    <t>(-) Compensación de IVA por ventas efectuadas con medio electrónico y/o IVA devuelto o descontado por transacciones realizadas con personas adultas mayores o personas con discapacidad</t>
  </si>
  <si>
    <t>(-) Compensación de IVA por ventas efectuadas en zonas afectadas - Ley de solidaridad, restitución de crédito tributario en resoluciones administrativas o sentencias judiciales de última instancia</t>
  </si>
  <si>
    <t>(si la diferencia de los campos 499-564 es mayor que cero)</t>
  </si>
  <si>
    <t>(si la diferencia de los campos 499-564 es menor que cero)</t>
  </si>
  <si>
    <t>Por adquisiciones e importaciones</t>
  </si>
  <si>
    <t>Por retenciones en la fuente de IVA que le han sido efectuadas</t>
  </si>
  <si>
    <t>Por compensación de IVA por ventas efectuadas con medio  electrónico</t>
  </si>
  <si>
    <t>Por compensación de IVA por ventas efectuadas en zonas afectadas - Ley de solidaridad, restitución de crédito tributario en resoluciones administrativas o sentencias judiciales de última instancia</t>
  </si>
  <si>
    <t>(trasládese el campo 615 de la declaración del período anterior)</t>
  </si>
  <si>
    <t>(trasládese el campo 617 de la declaración del período anterior)</t>
  </si>
  <si>
    <t>(trasládese el campo 618 de la declaración del período anterior)</t>
  </si>
  <si>
    <t>(trasládese el campo 619 de la declaración del período anterior)</t>
  </si>
  <si>
    <t>(-) Retenciones en la fuente de IVA que le han sido efectuadas en este período</t>
  </si>
  <si>
    <t>(-) IVA devuelto o descontado por transacciones realizadas con personas adultas mayores o personas con discapacidad</t>
  </si>
  <si>
    <t>(+) Ajuste por IVA devuelto o descontado por adquisiciones efectuadas con medio electrónico</t>
  </si>
  <si>
    <t>(+) Ajuste por IVA devuelto o descontado en adquisiciones efectuadas en zonas afectadas - Ley de solidaridad</t>
  </si>
  <si>
    <t>(+) Ajuste por IVA devuelto e IVA rechazado (por concepto de devoluciones de IVA), ajuste de IVA por procesos de control y otros (adquisiciones en importaciones), imputables al crédito tributario</t>
  </si>
  <si>
    <t>(+) Ajuste por IVA devuelto e IVA rechazado, ajuste de IVA por procesos de control y otros (por concepto retenciones en la fuente de IVA), imputables al crédito tributario</t>
  </si>
  <si>
    <t>(+) Ajuste por IVA devuelto por otras instituciones del sector público imputable al crédito tributario en el mes</t>
  </si>
  <si>
    <t xml:space="preserve">Por adquisiciones e importaciones    </t>
  </si>
  <si>
    <t>Por compensación de IVA por ventas efectuadas con medio electrónico</t>
  </si>
  <si>
    <t>Si (601-602-603-604-605-606-607-608-609+610+611+612+613+614) &gt; 0</t>
  </si>
  <si>
    <t>IVA PRESUNTIVO DE SALAS DE JUEGO (BINGO MECÁNICOS) Y OTROS JUEGOS DE AZAR (Aplica para Ejercicios Anteriores al 2013), RETENCIÓN DE IVA EN VENTAS DIFERENTES PORCENTAJES (aplica para Ejercicios posteriores al 2021)</t>
  </si>
  <si>
    <t>TOTAL IMPUESTO A PAGAR POR PERCEPCIÓN Y RETENCIONES EFECTUADAS EN VENTAS (varios porcentajes)</t>
  </si>
  <si>
    <t>622</t>
  </si>
  <si>
    <t>Retención del 10%</t>
  </si>
  <si>
    <t>Retención del 20%</t>
  </si>
  <si>
    <t>Retención del 30%</t>
  </si>
  <si>
    <t>Retención del 50%</t>
  </si>
  <si>
    <t>Retención del 70%</t>
  </si>
  <si>
    <t>Retención del 100%</t>
  </si>
  <si>
    <t>Devolución provisional de IVA mediante compensación con retenciones efectuadas</t>
  </si>
  <si>
    <t>Retenciones efectuadas y no pagadas sector público, universidades y escuelas politécnicas</t>
  </si>
  <si>
    <t>802</t>
  </si>
  <si>
    <t>(799-800-802)</t>
  </si>
  <si>
    <t>Pago directo en cuenta única del tesoro nacional (uso exclusivo para instituciones y empresas del sector público autorizadas)</t>
  </si>
  <si>
    <t xml:space="preserve"> Nº. DECRETO TURISMO</t>
  </si>
  <si>
    <t>DIVIDENDOS EN ACCIONES (CAPITALIZACIÓN DE UTILIDADES)</t>
  </si>
  <si>
    <t>Ret.100% IVA  EMITIDAS (Compras) Sector Publico Informati</t>
  </si>
  <si>
    <t>Impresion Directa - RIDE</t>
  </si>
  <si>
    <t>Impresion Directa - FORMULARIO</t>
  </si>
  <si>
    <t>cf_impform</t>
  </si>
  <si>
    <t>cf_impride</t>
  </si>
  <si>
    <t>Previsualizar</t>
  </si>
  <si>
    <t>Autocodigo VENTAS</t>
  </si>
  <si>
    <t>NORMAL01a</t>
  </si>
  <si>
    <t>NORMAL03a</t>
  </si>
  <si>
    <t>NORMAL04a</t>
  </si>
  <si>
    <t>NORMAL05a</t>
  </si>
  <si>
    <t>NORMAL07a</t>
  </si>
  <si>
    <t>NORMAL06a</t>
  </si>
  <si>
    <t>dt_tipdec</t>
  </si>
  <si>
    <t>Tipo de Declaracion Formularios</t>
  </si>
  <si>
    <t>MENSUAL</t>
  </si>
  <si>
    <t>Base_Form.104_Nograv/Exenta</t>
  </si>
  <si>
    <t>IVA_Form.104 Base 444</t>
  </si>
  <si>
    <t>Liq.Imp. Base_NOgrav/Exenta</t>
  </si>
  <si>
    <t>Liq.Imp. IVA Reembolso 545</t>
  </si>
  <si>
    <t>Liq.Imp. IVA Gastos 512</t>
  </si>
  <si>
    <t>Liq.Imp. IVA Credito Tributario</t>
  </si>
  <si>
    <t>Liq. Imp. Ret_FTE</t>
  </si>
  <si>
    <t>Liq. Imp. Ret_IVA 100% Sector Publico</t>
  </si>
  <si>
    <t>Liq. Imp. Sumatoria Ret_IVA</t>
  </si>
  <si>
    <t>Tipo de Emision del Comprobante (opcional)</t>
  </si>
  <si>
    <t>No. Documento Retencion (Opcional)</t>
  </si>
  <si>
    <t>Fecha Retencion (Opcional)</t>
  </si>
  <si>
    <t>No. Autorizacion (Opcional)</t>
  </si>
  <si>
    <t>------------------------------------- Informacion del documento de Retencion -------------------------------------</t>
  </si>
  <si>
    <t>No. Documento (Opcional)</t>
  </si>
  <si>
    <t>Concepto de la Venta (Opcional)</t>
  </si>
  <si>
    <t>---------------------------------------- Informacion de Cabecera del documento de VENTA ----------------------------------------</t>
  </si>
  <si>
    <t>--------------- (Obligatorio si es PASAPORTE el ID)  ---------------</t>
  </si>
  <si>
    <t>Tipo de ACTIVIDAD (Opcional)</t>
  </si>
  <si>
    <t>cc_asiing</t>
  </si>
  <si>
    <t>cc_asigas</t>
  </si>
  <si>
    <t>--------------------------------- Bases Imponibles  / Tarifa del Impuesto / Totales del Documento de VENTA ---------------------------------</t>
  </si>
  <si>
    <t>Concepto de la Compra (Opcional)</t>
  </si>
  <si>
    <t>(segun columna CP = 01)</t>
  </si>
  <si>
    <t>(segun columna CP= 02)</t>
  </si>
  <si>
    <t>(segun columna CP= 03)</t>
  </si>
  <si>
    <t>(segun columna CM= 02-PAGO A NO RESIDENTE)</t>
  </si>
  <si>
    <t>(Obligatorio si columna L = 03-Exportaciones de servicios)</t>
  </si>
  <si>
    <t>Col. dependientes G-H-I</t>
  </si>
  <si>
    <t>(si columna L = 01)</t>
  </si>
  <si>
    <t>Columnas dependientes M-N-O-P-Q-S-T-U-V-W</t>
  </si>
  <si>
    <t>(Obligatorio si columna L = 01-Exportación de bienes con Refrendo</t>
  </si>
  <si>
    <t>HC0000001</t>
  </si>
  <si>
    <t>Autocodigo ARTICULOS</t>
  </si>
  <si>
    <t>TESORERIA - DETALLE DE COBROS Y PAGOS</t>
  </si>
  <si>
    <t>CONTABILIDAD - DETALLE DE ASIENTOS DE DIARIO CONTABLE</t>
  </si>
  <si>
    <t>Imp. Frac. Básica</t>
  </si>
  <si>
    <t>GENERAL</t>
  </si>
  <si>
    <t>NUMERACION Y FORMATOS DE IMPRESIÓN EN DOCUMENTOS ELECTRONICOS:</t>
  </si>
  <si>
    <t>cf_numdo6</t>
  </si>
  <si>
    <t>cf_numdo7</t>
  </si>
  <si>
    <t>cf_numdo8</t>
  </si>
  <si>
    <t>cf_numdo9</t>
  </si>
  <si>
    <t>&lt;== modificar por sus datos (25 / 465 / 587)</t>
  </si>
  <si>
    <t>miemail@gmail.com</t>
  </si>
  <si>
    <t>miclaveEmail</t>
  </si>
  <si>
    <t>miemail@hotmail.com</t>
  </si>
  <si>
    <t>SRI ANEXOS</t>
  </si>
  <si>
    <t>0999999999</t>
  </si>
  <si>
    <t>CONFIGURACION DEL ENVIO DE EMAILS:</t>
  </si>
  <si>
    <t>CONFIGURACION DE PARAMETROS GENERALES:</t>
  </si>
  <si>
    <t>Version de Plantilla:</t>
  </si>
  <si>
    <t xml:space="preserve">Descripciones </t>
  </si>
  <si>
    <t>Porcentajes</t>
  </si>
  <si>
    <t>Numeracion de Indices para documentos y detalles (NO MODIFICAR)</t>
  </si>
  <si>
    <t>jvelizn@srianexos.com</t>
  </si>
  <si>
    <t>IVAtarifas</t>
  </si>
  <si>
    <t>Actividades</t>
  </si>
  <si>
    <t>DocExport</t>
  </si>
  <si>
    <t>C:\SRIanexos\Electronicos\mifirma.p12</t>
  </si>
  <si>
    <t>miclavep12</t>
  </si>
  <si>
    <t>IVA_Form.104_413/414</t>
  </si>
  <si>
    <t>C.T.</t>
  </si>
  <si>
    <t>001-999-MATRIZ</t>
  </si>
  <si>
    <t>&lt;dire&gt;MANTA&lt;/dire&gt;&lt;logo&gt;C:\SRIanexos\Imagenes\blank.jpg&lt;/logo&gt;</t>
  </si>
  <si>
    <t>smtp.gmail.com</t>
  </si>
  <si>
    <t>Tipo Documento</t>
  </si>
  <si>
    <t>SERVER_3</t>
  </si>
  <si>
    <t>DETALLE DE GUIAS DE REMISION</t>
  </si>
  <si>
    <t>No. de Identificacion Transportista</t>
  </si>
  <si>
    <t>Razon Social Transportista</t>
  </si>
  <si>
    <t>No. de Placa</t>
  </si>
  <si>
    <t>Fecha de Fin de  Transporte</t>
  </si>
  <si>
    <t>Fecha de Inicio Transporte</t>
  </si>
  <si>
    <t>Direccion de Partida del transporte</t>
  </si>
  <si>
    <t>No. de Identificacion Destinatario</t>
  </si>
  <si>
    <t>Razon Social Destinatario</t>
  </si>
  <si>
    <t>Direccion de Destinatario</t>
  </si>
  <si>
    <t>Motivo del traslado</t>
  </si>
  <si>
    <t>No. de documento Aduanero Unico</t>
  </si>
  <si>
    <t>Ruta</t>
  </si>
  <si>
    <t>Comprobante de Sustento</t>
  </si>
  <si>
    <t>Numero documento Sustento</t>
  </si>
  <si>
    <t>Numero Autorización S.R.I. del documento Sustento</t>
  </si>
  <si>
    <t>-------- Datos del documento de Sustento --------</t>
  </si>
  <si>
    <t>Razon Social Contribuyente Emisor</t>
  </si>
  <si>
    <t>No. de Identificacion Emisor</t>
  </si>
  <si>
    <t>-------- Datos Principales del documento de la Guia de Remision --------</t>
  </si>
  <si>
    <t>---------------------------------------- Datos del transportista y direccion de traslado de mercaderia ----------------------------------------</t>
  </si>
  <si>
    <t>---------------------------------------- Datos del Destinatario y del documento de Sustento ----------------------------------------</t>
  </si>
  <si>
    <t>Fecha de Emisión Documento Sustento</t>
  </si>
  <si>
    <t>Hoja GUIAS REMISION</t>
  </si>
  <si>
    <t>DM</t>
  </si>
  <si>
    <t>cf_filGUI</t>
  </si>
  <si>
    <t>Codigo Automatico</t>
  </si>
  <si>
    <t>TABLA IMPTO. REGIMEN RIMPE EMPRENDEDOR</t>
  </si>
  <si>
    <t>TABLA IMPTO. REGIMEN RIMPE NEG.POPULAR</t>
  </si>
  <si>
    <t>Pago Anual</t>
  </si>
  <si>
    <t>RIMPE</t>
  </si>
  <si>
    <t>TIPO DE REGIMEN:</t>
  </si>
  <si>
    <t xml:space="preserve">335-Loterías, rifas, pronósticos deportivos, apuestas y similares </t>
  </si>
  <si>
    <t>346C-Retención a cargo del propio sujeto pasivo por la producción y/o comercialización de minerales y otros bienes</t>
  </si>
  <si>
    <t>505F-Pago a no residentes - Otros Intereses y Rendimientos Financieros (25% o 37%)</t>
  </si>
  <si>
    <t>509-Pago a no residentes- Cánones, derechos de autor,  marcas, patentes y similares (25% o 37%)</t>
  </si>
  <si>
    <t>509A-PPago a no residentes - Regalías por concepto de franquicias (25% o 37%)</t>
  </si>
  <si>
    <t>510-Pago a no residentes - Otras ganancias de capital distintas de enajenación de derechos representativos de capital  (5% o 25% o 37%)</t>
  </si>
  <si>
    <t>511-Pago a no residentes - Servicios profesionales independientes (25% o 37%)</t>
  </si>
  <si>
    <t>512-Pago a no residentes - Servicios profesionales dependientes (25% o 37%)</t>
  </si>
  <si>
    <t>513-Pago a no residentes- Artistas (25% o 37%)</t>
  </si>
  <si>
    <t>513A-Pago a no residentes - Deportistas (25% o 37%)</t>
  </si>
  <si>
    <t>514-Pago a no residentes - Participación de consejeros (25% o 37%)</t>
  </si>
  <si>
    <t>515-Pago a no residentes - Entretenimiento Público (25% o 37%)</t>
  </si>
  <si>
    <t>516-Pago a no residentes - Pensiones (25% o 37%)</t>
  </si>
  <si>
    <t>517-Pago a no residentes- Reembolso de Gastos (25% o 37%)</t>
  </si>
  <si>
    <t>518-Pago a no residentes- Funciones Públicas (25% o 37%)</t>
  </si>
  <si>
    <t>519-Pago a no residentes - Estudiantes (25% o 37%)</t>
  </si>
  <si>
    <t>520A-Pago a no residentes - Pago a proveedores de servicios hoteleros y turísticos en el exterior (25% o 37%)</t>
  </si>
  <si>
    <t>520B-Pago a no residentes - Arrendamientos mercantil internacional (0% o 25% o 37%)</t>
  </si>
  <si>
    <t>520D-Pago a no residentes - Comisiones por exportaciones y por promoción de turismo receptivo (0% o 25% o 37%)</t>
  </si>
  <si>
    <t>520F-Pago a no residentes - Por las agencias internacionales de prensa (0% o 25% o 37%)</t>
  </si>
  <si>
    <t>520G-Pago a no residentes - Contratos de fletamento de naves para empresas de transporte aéreo o marítimo internacional (0% o 25% o 37%)</t>
  </si>
  <si>
    <t>AUTORETENCIONES GRANDES CONTRIBUYENTES</t>
  </si>
  <si>
    <t>3481-Autorretenciones Sociedades Grandes Contribuyentes (varios porcentajes) Resolución No. NAC-DGERCGC24-00000003</t>
  </si>
  <si>
    <t>15%</t>
  </si>
  <si>
    <t>5%</t>
  </si>
  <si>
    <t>13%</t>
  </si>
  <si>
    <t>303A</t>
  </si>
  <si>
    <t>Servicios profesionales prestados por sociedades residentes</t>
  </si>
  <si>
    <t>303A-Servicios profesionales prestados por sociedades residentes</t>
  </si>
  <si>
    <t>308-Utilización o aprovechamiento de la imagen o renombre (personas naturales, sociedades," influencers")</t>
  </si>
  <si>
    <t xml:space="preserve">312A-COMPRAS AL PRODUCTOR: de bienes de origen bioacuático, forestal y los descritos  el art.27.1 de LRTI </t>
  </si>
  <si>
    <t>312C</t>
  </si>
  <si>
    <t>312C-COMPRAS AL COMERCIALIZADOR: de bienes de origen bioacuático, forestal y los descritos  el art.27.1 de LRTI</t>
  </si>
  <si>
    <t>314A-Regalías por concepto de franquicias de acuerdo al Código INGENIOS (COESCCI) - pago a personas naturales</t>
  </si>
  <si>
    <t>314B-Cánones, derechos de autor,  marcas, patentes y similares de acuerdo  al Código INGENIOS (COESCCI) – pago a personas naturales</t>
  </si>
  <si>
    <t>314C-Regalías por concepto de franquicias de acuerdo al Código INGENIOS (COESCCI) - pago a sociades</t>
  </si>
  <si>
    <t xml:space="preserve">314D-Cánones, derechos de autor,  marcas, patentes y similares de acuerdo  al Código INGENIOS (COESCCI)  </t>
  </si>
  <si>
    <t>343C-Recepción de botellas plásticas no retornables de PET</t>
  </si>
  <si>
    <t>350-Otras autorretenciones (inciso 1 y 2 Art.92.1 RLRTI) (1.50% o 1.75%)</t>
  </si>
  <si>
    <t>3482-Comisiones  a sociedades, nacionales o extranjeras residentes y establecimientos permanentes domiciliados en el país</t>
  </si>
  <si>
    <t>089-HONG KONG</t>
  </si>
  <si>
    <t>COMPRAS AL COMERCIALIZADOR: de bienes de origen bioacuático, forestal y los descritos  el art.27.1 de LRTI</t>
  </si>
  <si>
    <t>Honorarios profesionales y dietas</t>
  </si>
  <si>
    <t>1
VIVIENDA</t>
  </si>
  <si>
    <t>2
VESTIMENTA</t>
  </si>
  <si>
    <t>3
SALUD</t>
  </si>
  <si>
    <t>4
EDUCACION</t>
  </si>
  <si>
    <t>5
ALIMENTACION</t>
  </si>
  <si>
    <t>6
TURISMO</t>
  </si>
  <si>
    <t>TOTALES GASTOS PERSONALES</t>
  </si>
  <si>
    <t>Total G.Pers. deducible sin Impuestos</t>
  </si>
  <si>
    <t>Predeterminado</t>
  </si>
  <si>
    <t>SERVICIOS PROFESIONALES PRESTADOS POR SOCIEDADES RESIDENTES</t>
  </si>
  <si>
    <t xml:space="preserve">COMPRAS AL PRODUCTOR: de bienes de origen bioacuático, forestal y los descritos  el art.27.1 de LRTI </t>
  </si>
  <si>
    <t>COMISIONES A SOCIEDADES, NACIONALES O EXTRANJERAS RESIDENTES Y ESTABLECIMIENTOS PERMANENTES DOMICILIADOS EN EL PAÍS</t>
  </si>
  <si>
    <t>Ventas locales (excluye activos fijos) gravadas tarifa 5%</t>
  </si>
  <si>
    <t>425</t>
  </si>
  <si>
    <t>435</t>
  </si>
  <si>
    <t>445</t>
  </si>
  <si>
    <t>540</t>
  </si>
  <si>
    <t>550</t>
  </si>
  <si>
    <t>560</t>
  </si>
  <si>
    <t>(411+412+420+435+415+416+417+418) / 419</t>
  </si>
  <si>
    <t>(520+521+534+560+523+524+525+526-527) x 563</t>
  </si>
  <si>
    <t>POR PAGOS EFECTUADOS A RESIDENTES Y ESTABLECIMIENTOS PERMANENTES</t>
  </si>
  <si>
    <t>DERIVADAS DEL TRABAJO Y SERVICIOS PRESTADOS</t>
  </si>
  <si>
    <t>POR BIENES Y SERVICIOS</t>
  </si>
  <si>
    <t>ACTIVIDADES DE CONSTRUCCIÓN DE OBRA MATERIAL INMUEBLE, URBANIZACIÓN, LOTIZACIÓN O ACTIVIDADES SIMILARES</t>
  </si>
  <si>
    <r>
      <rPr>
        <b/>
        <sz val="10"/>
        <rFont val="Arial"/>
        <family val="2"/>
      </rPr>
      <t>PAGOS APLICABLES EL 2%</t>
    </r>
    <r>
      <rPr>
        <sz val="10"/>
        <rFont val="Arial"/>
        <family val="2"/>
      </rPr>
      <t xml:space="preserve"> (incluye Pago local tarjeta de crédito /débito reportada por la Emisora de tarjeta de crédito / entidades del
sistema financiero; adquisición de sustancias minerales dentro del territorio nacional; Recepción de botellas plásticas no retornables de
PET)</t>
    </r>
  </si>
  <si>
    <r>
      <rPr>
        <b/>
        <sz val="10"/>
        <rFont val="Arial"/>
        <family val="2"/>
      </rPr>
      <t>PAGOS APLICABLES EL 1%</t>
    </r>
    <r>
      <rPr>
        <sz val="10"/>
        <rFont val="Arial"/>
        <family val="2"/>
      </rPr>
      <t xml:space="preserve"> (Energía Eléctrica y régimen RIMPE - Emprendedores, para este caso aplica con cualquier forma de pago inclusive los pagos que deban realizar las tarjetas de crédito/débito)</t>
    </r>
  </si>
  <si>
    <t>PAGOS DE BIENES Y SERVICIOS NO SUJETOS A RETENCIÓN O CON 0% (DISTINTOS DE RENDIMIENTOS FINANCIEROS)</t>
  </si>
  <si>
    <r>
      <rPr>
        <b/>
        <sz val="10"/>
        <rFont val="Arial"/>
        <family val="2"/>
      </rPr>
      <t xml:space="preserve">COMPRAS AL COMERCIALIZADOR: </t>
    </r>
    <r>
      <rPr>
        <sz val="10"/>
        <rFont val="Arial"/>
        <family val="2"/>
      </rPr>
      <t>de bienes de origen agrícola, avícola, pecuario, apícola, cunícola, bioacuático, forestal y carnes en
estado natural y los descritos en el art.27.1 de LRTI.</t>
    </r>
  </si>
  <si>
    <r>
      <rPr>
        <b/>
        <sz val="10"/>
        <rFont val="Arial"/>
        <family val="2"/>
      </rPr>
      <t>COMPRAS AL PRODUCTOR:</t>
    </r>
    <r>
      <rPr>
        <sz val="10"/>
        <rFont val="Arial"/>
        <family val="2"/>
      </rPr>
      <t xml:space="preserve"> de bienes de origen agrícola, avícola, pecuario, apícola, cunícola, bioacuático, forestal y carnes en estado natural y los descritos en el art.27.1 de LRTI.</t>
    </r>
  </si>
  <si>
    <t>POR REGALIAS, COMISIONES, ARRENDAMIENTOS Y OTROS</t>
  </si>
  <si>
    <t>Comisiones pagadas a sociedades, nacionales o extranjeras residentes en el Ecuador y establecimientos permanentes domiciliados en el país</t>
  </si>
  <si>
    <t>RELACIONADAS CON EL CAPITAL ( RENDIMIENTOS, GANANCIAS, DIVIDENDOS Y OTROS)</t>
  </si>
  <si>
    <t>OTROS RENDIMIENTOS FINANCIEROS 0%</t>
  </si>
  <si>
    <t>GANANCIA EN LA ENAJENACIÓN DE DERECHOS REPRESENTATIVOS DE CAPITAL U OTROS DERECHOS QUE PERMITAN LA EXPLORACIÓN, EXPLOTACIÓN, CONCESIÓN O SIMILARES DE SOCIEDADES, QUE SE COTICEN EN LAS BOLSAS DE VALORES DEL ECUADOR</t>
  </si>
  <si>
    <t>CONTRAPRESTACIÓN EN LA ENAJENACIÓN DE DERECHOS REPRESENTATIVOS DE CAPITAL U OTROS DERECHOS QUE PERMITAN LA EXPLORACIÓN, EXPLOTACIÓN, CONCESIÓN O SIMILARES DE SOCIEDADES, NO COTIZADOS EN LAS BOLSAS DE VALORES DEL ECUADOR</t>
  </si>
  <si>
    <t>POR LOTERIAS Y PREMIOS</t>
  </si>
  <si>
    <t>LOTERÍAS, RIFAS, APUESTAS, PRONÓSTICOS DEPORTIVOS Y SIMILARES</t>
  </si>
  <si>
    <t>AUTORRETENCIONES Y OTRAS RETENCIONES</t>
  </si>
  <si>
    <t>RETENCIÓN A CARGO DEL PROPIO SUJETO PASIVO POR LA COMERCIALIZACIÓN DE PRODUCTOS FORESTALES</t>
  </si>
  <si>
    <t>OTRAS AUTORETENCIONES (inciso 1 y 2 Art.92.1 RLRTI)</t>
  </si>
  <si>
    <t xml:space="preserve">APLICABLES A OTROS PORCENTAJES ( Por Donaciones en dinero -Impuesto a las donaciones ) </t>
  </si>
  <si>
    <t>LIQUIDACIÓN DE IMPUESTO A LA RENTA ÚNICO</t>
  </si>
  <si>
    <t>IRU BANANO</t>
  </si>
  <si>
    <t>IRU PRONOSTICOS DEPORTIVOS</t>
  </si>
  <si>
    <t>Impuesto a la renta único sobre los ingresos percibidos por los operadores de pronósticos deportivos (vigente desde 01/07/2024)</t>
  </si>
  <si>
    <t>(+) INGRESOS GENERADOS POR LA ACTIVIDAD ECONÓMICA DE PRONÓSTICOS DEPORTIVOS</t>
  </si>
  <si>
    <t>(+) COMISIONES DERIVADAS DE LA ACTIVIDAD DE PRONÓSTICOS DEPORTIVOS</t>
  </si>
  <si>
    <t>(-) PREMIOS PAGADOS POR PRONÓSTICOS DEPORTIVOS</t>
  </si>
  <si>
    <t>IMPUESTO A LA RENTA ÚNICO SOBRE LOS INGRESOS PERCIBIDOS POR LOS OPERADORES DE PRONÓSTICOS DEPORTIVOS</t>
  </si>
  <si>
    <t>Adquisiciones y pagos (excluye activos fijos) gravados tarifa 5% (con derecho a crédito tributario)</t>
  </si>
  <si>
    <t>Tarifa1 de IVA aplicada</t>
  </si>
  <si>
    <t>Tarifa2 de IVA aplicada</t>
  </si>
  <si>
    <t>IVA_Form.104_411/412/420/435</t>
  </si>
  <si>
    <t>IVA-NOR*</t>
  </si>
  <si>
    <t>IVA-NOR</t>
  </si>
  <si>
    <t>IVA-ESP*</t>
  </si>
  <si>
    <t>Con Tarifa IVA Normal Activa * POR DEFECTO</t>
  </si>
  <si>
    <t>Con Tarifa IVA Especial * POR DEFECTO</t>
  </si>
  <si>
    <t>IVA-CONS*</t>
  </si>
  <si>
    <t>Con Tarifa para Construccion * POR DEFECTO</t>
  </si>
  <si>
    <t>Tarifa3 de IVA aplicada</t>
  </si>
  <si>
    <t>Tarifa de IVA</t>
  </si>
  <si>
    <t>Adquisiciones y pagos (excluye activos fijos) gravados tarifa diferente de cero (con derecho a créd.trib.tarifa variable)</t>
  </si>
  <si>
    <t xml:space="preserve">42-Documento retención presuntiva y retención emitida por propio vendedor o por intermediario. </t>
  </si>
  <si>
    <t>Monto de IRBPNR y/o Otros</t>
  </si>
  <si>
    <t>2024.v01</t>
  </si>
  <si>
    <t>01-PAGO A RESIDENTE</t>
  </si>
  <si>
    <t>01-REGIMEN GENERAL</t>
  </si>
  <si>
    <t>07</t>
  </si>
  <si>
    <t>PENDIENTE</t>
  </si>
  <si>
    <t>NORMAL</t>
  </si>
  <si>
    <t>R-Ruc</t>
  </si>
  <si>
    <t>Certifico que la información contenida en el medio magnético del Anexo Transaccional para el período  03-2024, es fiel reflejo del siguiente reporte:</t>
  </si>
  <si>
    <t>Periodo: 03-2024</t>
  </si>
  <si>
    <t>Fecha de Generación: 30/05/2024 11:01:53</t>
  </si>
  <si>
    <t>GRAVABLE</t>
  </si>
  <si>
    <t>DEMO</t>
  </si>
  <si>
    <t>02-Sociedad</t>
  </si>
  <si>
    <t>1306304542001</t>
  </si>
  <si>
    <t>1234567890001</t>
  </si>
  <si>
    <t>HA0000001</t>
  </si>
  <si>
    <t>HONO500</t>
  </si>
  <si>
    <t>Base Imp. 1 Gravable IVA diferente de cero</t>
  </si>
  <si>
    <t>Monto-1 de I.V.A.</t>
  </si>
  <si>
    <t xml:space="preserve">Base Imp. 2 Gravable IVA Construcción </t>
  </si>
  <si>
    <t>Monto-2 de I.V.A.</t>
  </si>
  <si>
    <t>Base Imp. 3 Gravable IVA Especial</t>
  </si>
  <si>
    <t>Monto-3 de I.V.A.</t>
  </si>
  <si>
    <t>RUC: 1391922220001</t>
  </si>
  <si>
    <t>302-Ingresos del trabajo en relación de dependencia (varios porcentajes)</t>
  </si>
  <si>
    <t>3480-Impuesto a la renta único sobre los ingresos percibidos por los operadores de pronósticos deportivos</t>
  </si>
  <si>
    <t>Impuesto a la renta único sobre los ingresos percibidos por los operadores de pronósticos deportivos</t>
  </si>
  <si>
    <t>Autorretenciones Sociedades Grandes Contribuyentes</t>
  </si>
  <si>
    <t>Comisiones  a sociedades, nacionales o extranjeras residentes y establecimientos permanentes domiciliados en el país</t>
  </si>
  <si>
    <t>3480</t>
  </si>
  <si>
    <t>3481</t>
  </si>
  <si>
    <t>3482</t>
  </si>
  <si>
    <t>302</t>
  </si>
  <si>
    <t>Ingresos del trabajo en relación de dependencia</t>
  </si>
  <si>
    <t>Año 2025 En dólares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</si>
</sst>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_(* \(#,##0.00\);_(* &quot;-&quot;??_);_(@_)"/>
    <numFmt numFmtId="164" formatCode="_ * #,##0.00_ ;_ * \-#,##0.00_ ;_ * &quot;-&quot;??_ ;_ @_ "/>
    <numFmt numFmtId="165" formatCode="_ * #,##0_ ;_ * \-#,##0_ ;_ * &quot;-&quot;??_ ;_ @_ "/>
    <numFmt numFmtId="166" formatCode="_ * #,##0.0000_ ;_ * \-#,##0.0000_ ;_ * &quot;-&quot;??_ ;_ @_ "/>
    <numFmt numFmtId="167" formatCode="mmm\-yyyy"/>
    <numFmt numFmtId="168" formatCode="_-* #,##0.0000_-;\-* #,##0.0000_-;_-* &quot;-&quot;??_-;_-@_-"/>
    <numFmt numFmtId="169" formatCode="_(* #,##0_);_(* \(#,##0\);_(* &quot;-&quot;??_);_(@_)"/>
    <numFmt numFmtId="170" formatCode="dd/mm/yyyy;@"/>
  </numFmts>
  <fonts count="89" x14ac:knownFonts="1">
    <font>
      <sz val="11"/>
      <color theme="1"/>
      <name val="Calibri"/>
      <family val="2"/>
      <scheme val="minor"/>
    </font>
    <font>
      <sz val="11"/>
      <color theme="1"/>
      <name val="Calibri"/>
      <family val="2"/>
      <scheme val="minor"/>
    </font>
    <font>
      <sz val="18"/>
      <color indexed="9"/>
      <name val="Arial"/>
      <family val="2"/>
    </font>
    <font>
      <b/>
      <sz val="10"/>
      <color indexed="9"/>
      <name val="Arial"/>
      <family val="2"/>
    </font>
    <font>
      <sz val="10"/>
      <name val="Arial"/>
      <family val="2"/>
    </font>
    <font>
      <b/>
      <sz val="10"/>
      <name val="Arial"/>
      <family val="2"/>
    </font>
    <font>
      <sz val="10"/>
      <name val="Arial"/>
      <family val="2"/>
    </font>
    <font>
      <b/>
      <sz val="11"/>
      <name val="Arial"/>
      <family val="2"/>
    </font>
    <font>
      <sz val="9"/>
      <name val="Arial"/>
      <family val="2"/>
    </font>
    <font>
      <sz val="14"/>
      <name val="Arial"/>
      <family val="2"/>
    </font>
    <font>
      <sz val="12"/>
      <name val="Arial"/>
      <family val="2"/>
    </font>
    <font>
      <b/>
      <sz val="9"/>
      <name val="Arial"/>
      <family val="2"/>
    </font>
    <font>
      <b/>
      <sz val="14"/>
      <name val="Arial"/>
      <family val="2"/>
    </font>
    <font>
      <b/>
      <sz val="12"/>
      <name val="Arial"/>
      <family val="2"/>
    </font>
    <font>
      <sz val="8"/>
      <name val="Arial"/>
      <family val="2"/>
    </font>
    <font>
      <b/>
      <sz val="16"/>
      <name val="Arial"/>
      <family val="2"/>
    </font>
    <font>
      <sz val="7"/>
      <name val="Arial"/>
      <family val="2"/>
    </font>
    <font>
      <b/>
      <sz val="8"/>
      <name val="Arial"/>
      <family val="2"/>
    </font>
    <font>
      <sz val="18"/>
      <name val="Arial"/>
      <family val="2"/>
    </font>
    <font>
      <b/>
      <i/>
      <sz val="9"/>
      <name val="Arial"/>
      <family val="2"/>
    </font>
    <font>
      <sz val="11"/>
      <color indexed="8"/>
      <name val="Calibri"/>
      <family val="2"/>
    </font>
    <font>
      <sz val="11"/>
      <color indexed="8"/>
      <name val="Arial"/>
      <family val="2"/>
      <charset val="1"/>
    </font>
    <font>
      <sz val="8"/>
      <color theme="0"/>
      <name val="Arial"/>
      <family val="2"/>
    </font>
    <font>
      <b/>
      <sz val="11"/>
      <color theme="0"/>
      <name val="Calibri"/>
      <family val="2"/>
      <scheme val="minor"/>
    </font>
    <font>
      <b/>
      <sz val="11"/>
      <color theme="1"/>
      <name val="Calibri"/>
      <family val="2"/>
      <scheme val="minor"/>
    </font>
    <font>
      <b/>
      <sz val="18"/>
      <name val="Cambria"/>
      <family val="1"/>
      <scheme val="major"/>
    </font>
    <font>
      <sz val="18"/>
      <name val="Cambria"/>
      <family val="1"/>
      <scheme val="major"/>
    </font>
    <font>
      <b/>
      <u/>
      <sz val="18"/>
      <name val="Cambria"/>
      <family val="1"/>
      <scheme val="major"/>
    </font>
    <font>
      <b/>
      <sz val="8"/>
      <color theme="0"/>
      <name val="Arial"/>
      <family val="2"/>
    </font>
    <font>
      <b/>
      <sz val="8"/>
      <color indexed="9"/>
      <name val="Arial"/>
      <family val="2"/>
    </font>
    <font>
      <sz val="10"/>
      <name val="Calibri"/>
      <family val="2"/>
      <scheme val="minor"/>
    </font>
    <font>
      <sz val="9"/>
      <name val="Cambria"/>
      <family val="1"/>
      <scheme val="major"/>
    </font>
    <font>
      <b/>
      <sz val="9"/>
      <color theme="0"/>
      <name val="Cambria"/>
      <family val="1"/>
      <scheme val="major"/>
    </font>
    <font>
      <b/>
      <sz val="14"/>
      <color indexed="59"/>
      <name val="Cambria"/>
      <family val="1"/>
      <scheme val="major"/>
    </font>
    <font>
      <b/>
      <sz val="9"/>
      <name val="Cambria"/>
      <family val="1"/>
      <scheme val="major"/>
    </font>
    <font>
      <b/>
      <sz val="9"/>
      <color indexed="59"/>
      <name val="Cambria"/>
      <family val="1"/>
      <scheme val="major"/>
    </font>
    <font>
      <sz val="9"/>
      <color theme="1"/>
      <name val="Cambria"/>
      <family val="1"/>
      <scheme val="major"/>
    </font>
    <font>
      <strike/>
      <sz val="9"/>
      <name val="Cambria"/>
      <family val="1"/>
      <scheme val="major"/>
    </font>
    <font>
      <sz val="9"/>
      <color theme="0"/>
      <name val="Cambria"/>
      <family val="1"/>
      <scheme val="major"/>
    </font>
    <font>
      <b/>
      <sz val="9"/>
      <color indexed="9"/>
      <name val="Cambria"/>
      <family val="1"/>
      <scheme val="major"/>
    </font>
    <font>
      <b/>
      <i/>
      <sz val="9"/>
      <color indexed="59"/>
      <name val="Cambria"/>
      <family val="1"/>
      <scheme val="major"/>
    </font>
    <font>
      <b/>
      <i/>
      <u/>
      <sz val="9"/>
      <name val="Cambria"/>
      <family val="1"/>
      <scheme val="major"/>
    </font>
    <font>
      <b/>
      <i/>
      <sz val="9"/>
      <name val="Cambria"/>
      <family val="1"/>
      <scheme val="major"/>
    </font>
    <font>
      <b/>
      <sz val="16"/>
      <color indexed="59"/>
      <name val="Cambria"/>
      <family val="1"/>
      <scheme val="major"/>
    </font>
    <font>
      <sz val="14"/>
      <color indexed="59"/>
      <name val="Cambria"/>
      <family val="1"/>
      <scheme val="major"/>
    </font>
    <font>
      <b/>
      <sz val="16"/>
      <name val="Cambria"/>
      <family val="1"/>
      <scheme val="major"/>
    </font>
    <font>
      <sz val="11"/>
      <color theme="0"/>
      <name val="Calibri"/>
      <family val="2"/>
      <scheme val="minor"/>
    </font>
    <font>
      <sz val="8"/>
      <name val="Cambria"/>
      <family val="1"/>
      <scheme val="major"/>
    </font>
    <font>
      <b/>
      <sz val="8"/>
      <name val="Cambria"/>
      <family val="1"/>
      <scheme val="major"/>
    </font>
    <font>
      <u/>
      <sz val="10"/>
      <name val="Arial"/>
      <family val="2"/>
    </font>
    <font>
      <b/>
      <u/>
      <sz val="10"/>
      <name val="Arial"/>
      <family val="2"/>
    </font>
    <font>
      <b/>
      <i/>
      <sz val="10"/>
      <name val="Arial"/>
      <family val="2"/>
    </font>
    <font>
      <sz val="12"/>
      <name val="Cambria"/>
      <family val="1"/>
      <scheme val="major"/>
    </font>
    <font>
      <u/>
      <sz val="10"/>
      <color indexed="12"/>
      <name val="Arial"/>
      <family val="2"/>
    </font>
    <font>
      <sz val="10"/>
      <color theme="1"/>
      <name val="Arial"/>
      <family val="2"/>
    </font>
    <font>
      <sz val="8"/>
      <name val="Calibri"/>
      <family val="2"/>
      <scheme val="minor"/>
    </font>
    <font>
      <sz val="16"/>
      <name val="Cambria"/>
      <family val="1"/>
      <scheme val="major"/>
    </font>
    <font>
      <b/>
      <sz val="9"/>
      <color theme="1"/>
      <name val="Cambria"/>
      <family val="1"/>
      <scheme val="major"/>
    </font>
    <font>
      <u/>
      <sz val="11"/>
      <color theme="10"/>
      <name val="Calibri"/>
      <family val="2"/>
      <scheme val="minor"/>
    </font>
    <font>
      <b/>
      <sz val="12"/>
      <color indexed="9"/>
      <name val="Calibri"/>
      <family val="2"/>
    </font>
    <font>
      <sz val="12"/>
      <name val="Calibri"/>
      <family val="2"/>
    </font>
    <font>
      <sz val="9"/>
      <color indexed="81"/>
      <name val="Tahoma"/>
      <family val="2"/>
    </font>
    <font>
      <b/>
      <sz val="9"/>
      <color indexed="81"/>
      <name val="Tahoma"/>
      <family val="2"/>
    </font>
    <font>
      <b/>
      <i/>
      <sz val="9"/>
      <color theme="1"/>
      <name val="Cambria"/>
      <family val="1"/>
      <scheme val="major"/>
    </font>
    <font>
      <b/>
      <i/>
      <sz val="9"/>
      <color theme="0"/>
      <name val="Cambria"/>
      <family val="1"/>
      <scheme val="major"/>
    </font>
    <font>
      <b/>
      <sz val="10"/>
      <color theme="8" tint="0.79998168889431442"/>
      <name val="Arial"/>
      <family val="2"/>
    </font>
    <font>
      <b/>
      <sz val="11"/>
      <color theme="3" tint="-0.499984740745262"/>
      <name val="Arial"/>
      <family val="2"/>
    </font>
    <font>
      <b/>
      <u/>
      <sz val="11"/>
      <color theme="3" tint="-0.499984740745262"/>
      <name val="Arial"/>
      <family val="2"/>
    </font>
    <font>
      <sz val="11"/>
      <color theme="3" tint="-0.499984740745262"/>
      <name val="Arial"/>
      <family val="2"/>
    </font>
    <font>
      <sz val="10"/>
      <color theme="8" tint="0.79998168889431442"/>
      <name val="Arial"/>
      <family val="2"/>
    </font>
    <font>
      <sz val="10"/>
      <name val="Calibri"/>
      <family val="2"/>
    </font>
    <font>
      <sz val="8"/>
      <name val="Calibri"/>
      <family val="2"/>
    </font>
    <font>
      <b/>
      <sz val="11"/>
      <color theme="8" tint="0.79998168889431442"/>
      <name val="Arial"/>
      <family val="2"/>
    </font>
    <font>
      <b/>
      <u/>
      <sz val="11"/>
      <color theme="10"/>
      <name val="Calibri"/>
      <family val="2"/>
      <scheme val="minor"/>
    </font>
    <font>
      <b/>
      <sz val="10"/>
      <color theme="1"/>
      <name val="Arial"/>
      <family val="2"/>
    </font>
    <font>
      <sz val="11"/>
      <color theme="8" tint="0.79998168889431442"/>
      <name val="Calibri"/>
      <family val="2"/>
      <scheme val="minor"/>
    </font>
    <font>
      <b/>
      <sz val="12"/>
      <color theme="1"/>
      <name val="Calibri"/>
      <family val="2"/>
      <scheme val="minor"/>
    </font>
    <font>
      <b/>
      <sz val="24"/>
      <color indexed="8"/>
      <name val="Arial"/>
      <family val="2"/>
    </font>
    <font>
      <sz val="18"/>
      <color indexed="8"/>
      <name val="Arial"/>
      <family val="2"/>
    </font>
    <font>
      <sz val="12"/>
      <color indexed="8"/>
      <name val="Arial"/>
      <family val="2"/>
    </font>
    <font>
      <sz val="10"/>
      <color indexed="63"/>
      <name val="Arial"/>
      <family val="2"/>
    </font>
    <font>
      <i/>
      <sz val="10"/>
      <color indexed="23"/>
      <name val="Arial"/>
      <family val="2"/>
    </font>
    <font>
      <sz val="10"/>
      <color indexed="58"/>
      <name val="Arial"/>
      <family val="2"/>
    </font>
    <font>
      <sz val="10"/>
      <color indexed="19"/>
      <name val="Arial"/>
      <family val="2"/>
    </font>
    <font>
      <sz val="10"/>
      <color indexed="16"/>
      <name val="Arial"/>
      <family val="2"/>
    </font>
    <font>
      <b/>
      <sz val="10"/>
      <color indexed="8"/>
      <name val="Arial"/>
      <family val="2"/>
    </font>
    <font>
      <sz val="10"/>
      <color indexed="9"/>
      <name val="Arial"/>
      <family val="2"/>
    </font>
    <font>
      <sz val="9"/>
      <color theme="1"/>
      <name val="Calibri"/>
      <family val="2"/>
      <scheme val="minor"/>
    </font>
    <font>
      <sz val="9"/>
      <color indexed="9"/>
      <name val="Cambria"/>
      <family val="1"/>
      <scheme val="major"/>
    </font>
  </fonts>
  <fills count="32">
    <fill>
      <patternFill patternType="none"/>
    </fill>
    <fill>
      <patternFill patternType="gray125"/>
    </fill>
    <fill>
      <patternFill patternType="solid">
        <fgColor indexed="18"/>
        <bgColor indexed="64"/>
      </patternFill>
    </fill>
    <fill>
      <patternFill patternType="solid">
        <fgColor indexed="8"/>
        <bgColor indexed="64"/>
      </patternFill>
    </fill>
    <fill>
      <patternFill patternType="solid">
        <fgColor indexed="42"/>
        <bgColor indexed="64"/>
      </patternFill>
    </fill>
    <fill>
      <patternFill patternType="solid">
        <fgColor rgb="FFFFFF00"/>
        <bgColor indexed="64"/>
      </patternFill>
    </fill>
    <fill>
      <patternFill patternType="solid">
        <fgColor theme="7" tint="-0.249977111117893"/>
        <bgColor indexed="64"/>
      </patternFill>
    </fill>
    <fill>
      <patternFill patternType="solid">
        <fgColor indexed="22"/>
        <bgColor indexed="64"/>
      </patternFill>
    </fill>
    <fill>
      <patternFill patternType="solid">
        <fgColor indexed="29"/>
        <bgColor indexed="64"/>
      </patternFill>
    </fill>
    <fill>
      <patternFill patternType="solid">
        <fgColor indexed="9"/>
        <bgColor indexed="64"/>
      </patternFill>
    </fill>
    <fill>
      <patternFill patternType="solid">
        <fgColor indexed="41"/>
        <bgColor indexed="64"/>
      </patternFill>
    </fill>
    <fill>
      <patternFill patternType="solid">
        <fgColor indexed="55"/>
        <bgColor indexed="64"/>
      </patternFill>
    </fill>
    <fill>
      <patternFill patternType="solid">
        <fgColor theme="0" tint="-0.249977111117893"/>
        <bgColor indexed="64"/>
      </patternFill>
    </fill>
    <fill>
      <patternFill patternType="solid">
        <fgColor rgb="FF66FF33"/>
        <bgColor indexed="64"/>
      </patternFill>
    </fill>
    <fill>
      <patternFill patternType="solid">
        <fgColor rgb="FF92D050"/>
        <bgColor indexed="64"/>
      </patternFill>
    </fill>
    <fill>
      <patternFill patternType="solid">
        <fgColor rgb="FF002060"/>
        <bgColor indexed="64"/>
      </patternFill>
    </fill>
    <fill>
      <patternFill patternType="solid">
        <fgColor theme="8" tint="0.59999389629810485"/>
        <bgColor indexed="64"/>
      </patternFill>
    </fill>
    <fill>
      <patternFill patternType="solid">
        <fgColor rgb="FF7030A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indexed="62"/>
        <bgColor indexed="64"/>
      </patternFill>
    </fill>
    <fill>
      <patternFill patternType="solid">
        <fgColor theme="8" tint="0.79998168889431442"/>
        <bgColor indexed="64"/>
      </patternFill>
    </fill>
    <fill>
      <patternFill patternType="solid">
        <fgColor theme="8" tint="0.59999389629810485"/>
        <bgColor indexed="9"/>
      </patternFill>
    </fill>
    <fill>
      <patternFill patternType="solid">
        <fgColor indexed="8"/>
        <bgColor indexed="18"/>
      </patternFill>
    </fill>
    <fill>
      <patternFill patternType="solid">
        <fgColor indexed="23"/>
        <bgColor indexed="55"/>
      </patternFill>
    </fill>
    <fill>
      <patternFill patternType="solid">
        <fgColor indexed="31"/>
        <bgColor indexed="47"/>
      </patternFill>
    </fill>
    <fill>
      <patternFill patternType="solid">
        <fgColor indexed="47"/>
        <bgColor indexed="31"/>
      </patternFill>
    </fill>
    <fill>
      <patternFill patternType="solid">
        <fgColor indexed="16"/>
        <bgColor indexed="10"/>
      </patternFill>
    </fill>
    <fill>
      <patternFill patternType="solid">
        <fgColor indexed="42"/>
        <bgColor indexed="27"/>
      </patternFill>
    </fill>
    <fill>
      <patternFill patternType="solid">
        <fgColor indexed="26"/>
        <bgColor indexed="9"/>
      </patternFill>
    </fill>
    <fill>
      <patternFill patternType="solid">
        <fgColor theme="4" tint="0.79998168889431442"/>
        <bgColor indexed="64"/>
      </patternFill>
    </fill>
    <fill>
      <patternFill patternType="solid">
        <fgColor theme="0" tint="-0.14999847407452621"/>
        <bgColor indexed="64"/>
      </patternFill>
    </fill>
  </fills>
  <borders count="148">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dashDotDot">
        <color indexed="64"/>
      </left>
      <right/>
      <top style="thin">
        <color indexed="64"/>
      </top>
      <bottom style="medium">
        <color indexed="64"/>
      </bottom>
      <diagonal/>
    </border>
    <border>
      <left style="dotted">
        <color indexed="64"/>
      </left>
      <right/>
      <top style="thin">
        <color indexed="64"/>
      </top>
      <bottom style="medium">
        <color indexed="64"/>
      </bottom>
      <diagonal/>
    </border>
    <border>
      <left style="medium">
        <color indexed="64"/>
      </left>
      <right style="dotted">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thin">
        <color indexed="64"/>
      </left>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right style="thin">
        <color indexed="64"/>
      </right>
      <top/>
      <bottom style="medium">
        <color indexed="64"/>
      </bottom>
      <diagonal/>
    </border>
    <border>
      <left/>
      <right style="thin">
        <color indexed="64"/>
      </right>
      <top style="medium">
        <color indexed="64"/>
      </top>
      <bottom/>
      <diagonal/>
    </border>
    <border>
      <left style="medium">
        <color indexed="64"/>
      </left>
      <right style="medium">
        <color indexed="64"/>
      </right>
      <top style="medium">
        <color indexed="64"/>
      </top>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style="thin">
        <color theme="0"/>
      </right>
      <top/>
      <bottom/>
      <diagonal/>
    </border>
    <border>
      <left style="thin">
        <color theme="0"/>
      </left>
      <right style="thin">
        <color theme="0"/>
      </right>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style="thin">
        <color theme="0"/>
      </right>
      <top/>
      <bottom style="thin">
        <color theme="0"/>
      </bottom>
      <diagonal/>
    </border>
    <border>
      <left style="thin">
        <color theme="0"/>
      </left>
      <right style="thin">
        <color theme="0"/>
      </right>
      <top/>
      <bottom style="thin">
        <color indexed="64"/>
      </bottom>
      <diagonal/>
    </border>
    <border>
      <left style="thin">
        <color theme="0"/>
      </left>
      <right style="thin">
        <color indexed="64"/>
      </right>
      <top style="thin">
        <color theme="0"/>
      </top>
      <bottom/>
      <diagonal/>
    </border>
    <border>
      <left style="medium">
        <color theme="0"/>
      </left>
      <right style="medium">
        <color theme="0"/>
      </right>
      <top style="medium">
        <color theme="0"/>
      </top>
      <bottom style="medium">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right/>
      <top/>
      <bottom style="double">
        <color indexed="64"/>
      </bottom>
      <diagonal/>
    </border>
    <border>
      <left style="thin">
        <color theme="0"/>
      </left>
      <right/>
      <top/>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style="thin">
        <color indexed="64"/>
      </right>
      <top/>
      <bottom/>
      <diagonal/>
    </border>
    <border>
      <left style="dashDot">
        <color indexed="64"/>
      </left>
      <right/>
      <top/>
      <bottom/>
      <diagonal/>
    </border>
    <border>
      <left/>
      <right style="dashDot">
        <color indexed="64"/>
      </right>
      <top/>
      <bottom/>
      <diagonal/>
    </border>
    <border>
      <left style="dashDot">
        <color indexed="64"/>
      </left>
      <right style="dashDot">
        <color indexed="64"/>
      </right>
      <top/>
      <bottom style="thin">
        <color indexed="64"/>
      </bottom>
      <diagonal/>
    </border>
    <border>
      <left style="dashDot">
        <color indexed="64"/>
      </left>
      <right/>
      <top/>
      <bottom style="thin">
        <color indexed="64"/>
      </bottom>
      <diagonal/>
    </border>
    <border>
      <left/>
      <right style="dashDot">
        <color indexed="64"/>
      </right>
      <top/>
      <bottom style="thin">
        <color indexed="64"/>
      </bottom>
      <diagonal/>
    </border>
    <border>
      <left/>
      <right/>
      <top style="thin">
        <color indexed="64"/>
      </top>
      <bottom style="double">
        <color indexed="64"/>
      </bottom>
      <diagonal/>
    </border>
    <border>
      <left style="thin">
        <color indexed="64"/>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style="thin">
        <color indexed="64"/>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top style="double">
        <color indexed="64"/>
      </top>
      <bottom style="double">
        <color indexed="64"/>
      </bottom>
      <diagonal/>
    </border>
    <border>
      <left style="medium">
        <color indexed="64"/>
      </left>
      <right/>
      <top style="thin">
        <color indexed="64"/>
      </top>
      <bottom style="medium">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top style="double">
        <color indexed="64"/>
      </top>
      <bottom style="thin">
        <color indexed="64"/>
      </bottom>
      <diagonal/>
    </border>
    <border>
      <left style="thin">
        <color indexed="23"/>
      </left>
      <right style="thin">
        <color indexed="23"/>
      </right>
      <top style="thin">
        <color indexed="23"/>
      </top>
      <bottom style="thin">
        <color indexed="23"/>
      </bottom>
      <diagonal/>
    </border>
    <border>
      <left style="thin">
        <color theme="0"/>
      </left>
      <right style="thin">
        <color theme="0"/>
      </right>
      <top style="thin">
        <color theme="0"/>
      </top>
      <bottom style="medium">
        <color indexed="64"/>
      </bottom>
      <diagonal/>
    </border>
    <border>
      <left style="thin">
        <color theme="0"/>
      </left>
      <right style="thin">
        <color theme="0"/>
      </right>
      <top style="medium">
        <color indexed="64"/>
      </top>
      <bottom style="thin">
        <color theme="0"/>
      </bottom>
      <diagonal/>
    </border>
    <border>
      <left style="thin">
        <color indexed="64"/>
      </left>
      <right style="medium">
        <color theme="0"/>
      </right>
      <top style="thin">
        <color indexed="64"/>
      </top>
      <bottom style="medium">
        <color theme="0"/>
      </bottom>
      <diagonal/>
    </border>
    <border>
      <left style="medium">
        <color theme="0"/>
      </left>
      <right style="medium">
        <color theme="0"/>
      </right>
      <top style="thin">
        <color indexed="64"/>
      </top>
      <bottom style="medium">
        <color theme="0"/>
      </bottom>
      <diagonal/>
    </border>
    <border>
      <left style="medium">
        <color theme="0"/>
      </left>
      <right/>
      <top style="thin">
        <color indexed="64"/>
      </top>
      <bottom style="medium">
        <color theme="0"/>
      </bottom>
      <diagonal/>
    </border>
    <border>
      <left/>
      <right style="thin">
        <color theme="0"/>
      </right>
      <top style="thin">
        <color theme="0"/>
      </top>
      <bottom style="thin">
        <color theme="0"/>
      </bottom>
      <diagonal/>
    </border>
    <border>
      <left style="thin">
        <color indexed="64"/>
      </left>
      <right style="thin">
        <color theme="0"/>
      </right>
      <top style="thin">
        <color indexed="64"/>
      </top>
      <bottom style="thin">
        <color theme="0"/>
      </bottom>
      <diagonal/>
    </border>
    <border>
      <left/>
      <right/>
      <top style="thin">
        <color theme="0"/>
      </top>
      <bottom style="thin">
        <color theme="0"/>
      </bottom>
      <diagonal/>
    </border>
    <border>
      <left style="thin">
        <color theme="0"/>
      </left>
      <right/>
      <top style="thin">
        <color indexed="64"/>
      </top>
      <bottom style="thin">
        <color theme="0"/>
      </bottom>
      <diagonal/>
    </border>
    <border>
      <left/>
      <right style="thin">
        <color theme="0"/>
      </right>
      <top style="thin">
        <color indexed="64"/>
      </top>
      <bottom style="thin">
        <color theme="0"/>
      </bottom>
      <diagonal/>
    </border>
    <border>
      <left style="thin">
        <color theme="0"/>
      </left>
      <right style="thin">
        <color indexed="64"/>
      </right>
      <top style="thin">
        <color indexed="64"/>
      </top>
      <bottom style="thin">
        <color indexed="64"/>
      </bottom>
      <diagonal/>
    </border>
    <border>
      <left/>
      <right/>
      <top style="thin">
        <color indexed="64"/>
      </top>
      <bottom style="thin">
        <color theme="0"/>
      </bottom>
      <diagonal/>
    </border>
    <border>
      <left style="thin">
        <color theme="0"/>
      </left>
      <right style="thin">
        <color theme="0"/>
      </right>
      <top style="thin">
        <color indexed="64"/>
      </top>
      <bottom style="thin">
        <color indexed="64"/>
      </bottom>
      <diagonal/>
    </border>
    <border>
      <left style="thin">
        <color theme="0"/>
      </left>
      <right style="thin">
        <color theme="0"/>
      </right>
      <top style="thin">
        <color indexed="64"/>
      </top>
      <bottom/>
      <diagonal/>
    </border>
    <border>
      <left style="thin">
        <color theme="0"/>
      </left>
      <right style="thin">
        <color indexed="64"/>
      </right>
      <top style="thin">
        <color indexed="64"/>
      </top>
      <bottom/>
      <diagonal/>
    </border>
    <border>
      <left style="thin">
        <color indexed="64"/>
      </left>
      <right style="thin">
        <color theme="0"/>
      </right>
      <top style="thin">
        <color indexed="64"/>
      </top>
      <bottom/>
      <diagonal/>
    </border>
    <border>
      <left/>
      <right style="thin">
        <color theme="0"/>
      </right>
      <top style="thin">
        <color indexed="64"/>
      </top>
      <bottom/>
      <diagonal/>
    </border>
    <border>
      <left style="medium">
        <color indexed="64"/>
      </left>
      <right style="thin">
        <color theme="0"/>
      </right>
      <top style="medium">
        <color indexed="64"/>
      </top>
      <bottom style="thin">
        <color theme="0"/>
      </bottom>
      <diagonal/>
    </border>
    <border>
      <left style="thin">
        <color theme="0"/>
      </left>
      <right style="medium">
        <color indexed="64"/>
      </right>
      <top style="medium">
        <color indexed="64"/>
      </top>
      <bottom style="thin">
        <color theme="0"/>
      </bottom>
      <diagonal/>
    </border>
    <border>
      <left style="thin">
        <color indexed="64"/>
      </left>
      <right style="thin">
        <color theme="0"/>
      </right>
      <top style="thin">
        <color theme="0"/>
      </top>
      <bottom/>
      <diagonal/>
    </border>
    <border>
      <left style="thin">
        <color theme="0"/>
      </left>
      <right/>
      <top style="thin">
        <color indexed="64"/>
      </top>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indexed="64"/>
      </left>
      <right style="thin">
        <color theme="0"/>
      </right>
      <top/>
      <bottom/>
      <diagonal/>
    </border>
    <border>
      <left style="thin">
        <color theme="0"/>
      </left>
      <right style="thin">
        <color indexed="64"/>
      </right>
      <top/>
      <bottom/>
      <diagonal/>
    </border>
    <border>
      <left style="thin">
        <color indexed="64"/>
      </left>
      <right style="medium">
        <color theme="0"/>
      </right>
      <top style="medium">
        <color theme="0"/>
      </top>
      <bottom/>
      <diagonal/>
    </border>
    <border>
      <left style="medium">
        <color theme="0"/>
      </left>
      <right style="medium">
        <color theme="0"/>
      </right>
      <top style="medium">
        <color theme="0"/>
      </top>
      <bottom/>
      <diagonal/>
    </border>
    <border>
      <left style="thin">
        <color theme="0"/>
      </left>
      <right style="thin">
        <color theme="0"/>
      </right>
      <top style="medium">
        <color indexed="64"/>
      </top>
      <bottom/>
      <diagonal/>
    </border>
  </borders>
  <cellStyleXfs count="42">
    <xf numFmtId="0" fontId="0" fillId="0" borderId="0"/>
    <xf numFmtId="43" fontId="1" fillId="0" borderId="0" applyFont="0" applyFill="0" applyBorder="0" applyAlignment="0" applyProtection="0"/>
    <xf numFmtId="9" fontId="1" fillId="0" borderId="0" applyFont="0" applyFill="0" applyBorder="0" applyAlignment="0" applyProtection="0"/>
    <xf numFmtId="0" fontId="6" fillId="0" borderId="0" applyFont="0" applyFill="0" applyBorder="0" applyAlignment="0" applyProtection="0"/>
    <xf numFmtId="0" fontId="4" fillId="0" borderId="0"/>
    <xf numFmtId="0" fontId="4" fillId="0" borderId="0" applyFont="0" applyFill="0" applyBorder="0" applyAlignment="0" applyProtection="0"/>
    <xf numFmtId="0" fontId="20" fillId="0" borderId="0"/>
    <xf numFmtId="0" fontId="21" fillId="0" borderId="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43" fontId="4" fillId="0" borderId="0" applyFont="0" applyFill="0" applyBorder="0" applyAlignment="0" applyProtection="0"/>
    <xf numFmtId="0" fontId="4" fillId="0" borderId="0"/>
    <xf numFmtId="164" fontId="4" fillId="0" borderId="0" applyFont="0" applyFill="0" applyBorder="0" applyAlignment="0" applyProtection="0"/>
    <xf numFmtId="0" fontId="53" fillId="0" borderId="0" applyNumberFormat="0" applyFill="0" applyBorder="0" applyAlignment="0" applyProtection="0">
      <alignment vertical="top"/>
      <protection locked="0"/>
    </xf>
    <xf numFmtId="0" fontId="58" fillId="0" borderId="0" applyNumberFormat="0" applyFill="0" applyBorder="0" applyAlignment="0" applyProtection="0"/>
    <xf numFmtId="0" fontId="1" fillId="0" borderId="0"/>
    <xf numFmtId="9" fontId="20" fillId="0" borderId="0" applyFont="0" applyFill="0" applyBorder="0" applyAlignment="0" applyProtection="0"/>
    <xf numFmtId="0" fontId="85" fillId="0" borderId="0" applyNumberFormat="0" applyFill="0" applyBorder="0" applyAlignment="0" applyProtection="0"/>
    <xf numFmtId="0" fontId="86" fillId="23" borderId="0" applyNumberFormat="0" applyBorder="0" applyAlignment="0" applyProtection="0"/>
    <xf numFmtId="0" fontId="86" fillId="24" borderId="0" applyNumberFormat="0" applyBorder="0" applyAlignment="0" applyProtection="0"/>
    <xf numFmtId="0" fontId="85" fillId="25" borderId="0" applyNumberFormat="0" applyBorder="0" applyAlignment="0" applyProtection="0"/>
    <xf numFmtId="0" fontId="84" fillId="26" borderId="0" applyNumberFormat="0" applyBorder="0" applyAlignment="0" applyProtection="0"/>
    <xf numFmtId="0" fontId="3" fillId="27" borderId="0" applyNumberFormat="0" applyBorder="0" applyAlignment="0" applyProtection="0"/>
    <xf numFmtId="0" fontId="20" fillId="0" borderId="0"/>
    <xf numFmtId="0" fontId="81" fillId="0" borderId="0" applyNumberFormat="0" applyFill="0" applyBorder="0" applyAlignment="0" applyProtection="0"/>
    <xf numFmtId="0" fontId="82" fillId="28" borderId="0" applyNumberFormat="0" applyBorder="0" applyAlignment="0" applyProtection="0"/>
    <xf numFmtId="0" fontId="77" fillId="0" borderId="0" applyNumberFormat="0" applyFill="0" applyBorder="0" applyAlignment="0" applyProtection="0"/>
    <xf numFmtId="0" fontId="78" fillId="0" borderId="0" applyNumberFormat="0" applyFill="0" applyBorder="0" applyAlignment="0" applyProtection="0"/>
    <xf numFmtId="0" fontId="79" fillId="0" borderId="0" applyNumberFormat="0" applyFill="0" applyBorder="0" applyAlignment="0" applyProtection="0"/>
    <xf numFmtId="0" fontId="83" fillId="29" borderId="0" applyNumberFormat="0" applyBorder="0" applyAlignment="0" applyProtection="0"/>
    <xf numFmtId="0" fontId="80" fillId="29" borderId="118" applyNumberFormat="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84" fillId="0" borderId="0" applyNumberFormat="0" applyFill="0" applyBorder="0" applyAlignment="0" applyProtection="0"/>
  </cellStyleXfs>
  <cellXfs count="1396">
    <xf numFmtId="0" fontId="0" fillId="0" borderId="0" xfId="0"/>
    <xf numFmtId="0" fontId="0" fillId="0" borderId="0" xfId="0" applyAlignment="1">
      <alignment vertical="center"/>
    </xf>
    <xf numFmtId="0" fontId="0" fillId="0" borderId="0" xfId="0" applyAlignment="1">
      <alignment horizontal="center" vertical="center"/>
    </xf>
    <xf numFmtId="0" fontId="8" fillId="0" borderId="0" xfId="4" applyFont="1" applyAlignment="1">
      <alignment vertical="center"/>
    </xf>
    <xf numFmtId="0" fontId="8" fillId="0" borderId="31" xfId="4" applyFont="1" applyBorder="1" applyAlignment="1">
      <alignment vertical="center"/>
    </xf>
    <xf numFmtId="0" fontId="8" fillId="0" borderId="32" xfId="4" applyFont="1" applyBorder="1" applyAlignment="1">
      <alignment vertical="center"/>
    </xf>
    <xf numFmtId="0" fontId="8" fillId="0" borderId="33" xfId="4" applyFont="1" applyBorder="1" applyAlignment="1">
      <alignment vertical="center"/>
    </xf>
    <xf numFmtId="0" fontId="8" fillId="0" borderId="4" xfId="4" applyFont="1" applyBorder="1" applyAlignment="1">
      <alignment horizontal="left" vertical="center"/>
    </xf>
    <xf numFmtId="0" fontId="10" fillId="7" borderId="25" xfId="4" applyFont="1" applyFill="1" applyBorder="1" applyAlignment="1">
      <alignment horizontal="center" vertical="center"/>
    </xf>
    <xf numFmtId="0" fontId="10" fillId="0" borderId="31" xfId="4" applyFont="1" applyBorder="1" applyAlignment="1">
      <alignment vertical="center"/>
    </xf>
    <xf numFmtId="0" fontId="10" fillId="0" borderId="32" xfId="4" applyFont="1" applyBorder="1" applyAlignment="1">
      <alignment vertical="center"/>
    </xf>
    <xf numFmtId="0" fontId="8" fillId="0" borderId="34" xfId="4" applyFont="1" applyBorder="1" applyAlignment="1">
      <alignment vertical="center"/>
    </xf>
    <xf numFmtId="0" fontId="8" fillId="0" borderId="35" xfId="4" applyFont="1" applyBorder="1" applyAlignment="1">
      <alignment vertical="center"/>
    </xf>
    <xf numFmtId="0" fontId="8" fillId="0" borderId="32" xfId="4" applyFont="1" applyBorder="1" applyAlignment="1">
      <alignment horizontal="center" vertical="center"/>
    </xf>
    <xf numFmtId="0" fontId="8" fillId="0" borderId="17" xfId="4" applyFont="1" applyBorder="1" applyAlignment="1">
      <alignment vertical="center"/>
    </xf>
    <xf numFmtId="0" fontId="8" fillId="0" borderId="16" xfId="4" applyFont="1" applyBorder="1" applyAlignment="1">
      <alignment vertical="center"/>
    </xf>
    <xf numFmtId="9" fontId="8" fillId="0" borderId="15" xfId="4" applyNumberFormat="1" applyFont="1" applyBorder="1" applyAlignment="1">
      <alignment vertical="center"/>
    </xf>
    <xf numFmtId="0" fontId="10" fillId="7" borderId="36" xfId="4" applyFont="1" applyFill="1" applyBorder="1" applyAlignment="1">
      <alignment horizontal="left" vertical="center"/>
    </xf>
    <xf numFmtId="0" fontId="10" fillId="7" borderId="37" xfId="4" applyFont="1" applyFill="1" applyBorder="1" applyAlignment="1">
      <alignment horizontal="left" vertical="center"/>
    </xf>
    <xf numFmtId="0" fontId="8" fillId="0" borderId="2" xfId="4" applyFont="1" applyBorder="1" applyAlignment="1">
      <alignment vertical="center"/>
    </xf>
    <xf numFmtId="0" fontId="8" fillId="0" borderId="0" xfId="4" applyFont="1" applyAlignment="1">
      <alignment horizontal="center" vertical="center"/>
    </xf>
    <xf numFmtId="0" fontId="8" fillId="0" borderId="13" xfId="4" applyFont="1" applyBorder="1" applyAlignment="1">
      <alignment horizontal="center" vertical="center"/>
    </xf>
    <xf numFmtId="0" fontId="8" fillId="0" borderId="13" xfId="4" applyFont="1" applyBorder="1" applyAlignment="1">
      <alignment horizontal="left" vertical="center"/>
    </xf>
    <xf numFmtId="0" fontId="8" fillId="0" borderId="1" xfId="4" applyFont="1" applyBorder="1" applyAlignment="1">
      <alignment vertical="center"/>
    </xf>
    <xf numFmtId="0" fontId="11" fillId="0" borderId="0" xfId="4" applyFont="1" applyAlignment="1">
      <alignment horizontal="center" vertical="center"/>
    </xf>
    <xf numFmtId="0" fontId="11" fillId="0" borderId="1" xfId="4" applyFont="1" applyBorder="1" applyAlignment="1">
      <alignment horizontal="center" vertical="center"/>
    </xf>
    <xf numFmtId="0" fontId="8" fillId="0" borderId="38" xfId="4" applyFont="1" applyBorder="1" applyAlignment="1">
      <alignment horizontal="left" vertical="center"/>
    </xf>
    <xf numFmtId="0" fontId="10" fillId="7" borderId="39" xfId="4" applyFont="1" applyFill="1" applyBorder="1" applyAlignment="1">
      <alignment horizontal="center" vertical="center" wrapText="1"/>
    </xf>
    <xf numFmtId="0" fontId="10" fillId="7" borderId="41" xfId="4" applyFont="1" applyFill="1" applyBorder="1" applyAlignment="1">
      <alignment horizontal="center" vertical="center" wrapText="1"/>
    </xf>
    <xf numFmtId="0" fontId="10" fillId="7" borderId="29" xfId="4" applyFont="1" applyFill="1" applyBorder="1" applyAlignment="1">
      <alignment horizontal="center" vertical="center" wrapText="1"/>
    </xf>
    <xf numFmtId="0" fontId="8" fillId="0" borderId="44" xfId="4" applyFont="1" applyBorder="1" applyAlignment="1">
      <alignment horizontal="left" vertical="center"/>
    </xf>
    <xf numFmtId="0" fontId="10" fillId="7" borderId="45" xfId="4" applyFont="1" applyFill="1" applyBorder="1" applyAlignment="1">
      <alignment horizontal="center" vertical="center" wrapText="1"/>
    </xf>
    <xf numFmtId="0" fontId="10" fillId="7" borderId="46" xfId="4" applyFont="1" applyFill="1" applyBorder="1" applyAlignment="1">
      <alignment horizontal="center" vertical="center" wrapText="1"/>
    </xf>
    <xf numFmtId="0" fontId="11" fillId="0" borderId="22" xfId="4" applyFont="1" applyBorder="1" applyAlignment="1">
      <alignment vertical="center"/>
    </xf>
    <xf numFmtId="0" fontId="11" fillId="0" borderId="21" xfId="4" applyFont="1" applyBorder="1" applyAlignment="1">
      <alignment vertical="center"/>
    </xf>
    <xf numFmtId="0" fontId="8" fillId="0" borderId="47" xfId="4" applyFont="1" applyBorder="1" applyAlignment="1">
      <alignment horizontal="left" vertical="center"/>
    </xf>
    <xf numFmtId="49" fontId="10" fillId="7" borderId="48" xfId="4" applyNumberFormat="1" applyFont="1" applyFill="1" applyBorder="1" applyAlignment="1">
      <alignment horizontal="center" vertical="center" wrapText="1"/>
    </xf>
    <xf numFmtId="0" fontId="8" fillId="0" borderId="49" xfId="4" applyFont="1" applyBorder="1" applyAlignment="1">
      <alignment vertical="center"/>
    </xf>
    <xf numFmtId="0" fontId="8" fillId="0" borderId="50" xfId="4" applyFont="1" applyBorder="1" applyAlignment="1">
      <alignment horizontal="left" vertical="center"/>
    </xf>
    <xf numFmtId="0" fontId="8" fillId="0" borderId="51" xfId="4" applyFont="1" applyBorder="1" applyAlignment="1">
      <alignment horizontal="left" vertical="center"/>
    </xf>
    <xf numFmtId="49" fontId="10" fillId="7" borderId="45" xfId="4" applyNumberFormat="1" applyFont="1" applyFill="1" applyBorder="1" applyAlignment="1">
      <alignment horizontal="center" vertical="center" wrapText="1"/>
    </xf>
    <xf numFmtId="0" fontId="8" fillId="0" borderId="15" xfId="4" applyFont="1" applyBorder="1" applyAlignment="1">
      <alignment vertical="center"/>
    </xf>
    <xf numFmtId="0" fontId="8" fillId="0" borderId="15" xfId="4" applyFont="1" applyBorder="1" applyAlignment="1">
      <alignment horizontal="left" vertical="center"/>
    </xf>
    <xf numFmtId="0" fontId="8" fillId="0" borderId="13" xfId="4" applyFont="1" applyBorder="1" applyAlignment="1">
      <alignment vertical="center"/>
    </xf>
    <xf numFmtId="0" fontId="8" fillId="0" borderId="12" xfId="4" applyFont="1" applyBorder="1" applyAlignment="1">
      <alignment vertical="center"/>
    </xf>
    <xf numFmtId="0" fontId="8" fillId="0" borderId="12" xfId="4" applyFont="1" applyBorder="1" applyAlignment="1">
      <alignment horizontal="left" vertical="center"/>
    </xf>
    <xf numFmtId="0" fontId="10" fillId="7" borderId="53" xfId="4" applyFont="1" applyFill="1" applyBorder="1" applyAlignment="1">
      <alignment horizontal="center" vertical="center"/>
    </xf>
    <xf numFmtId="0" fontId="10" fillId="7" borderId="37" xfId="4" applyFont="1" applyFill="1" applyBorder="1" applyAlignment="1">
      <alignment horizontal="center" vertical="center"/>
    </xf>
    <xf numFmtId="0" fontId="8" fillId="7" borderId="23" xfId="4" applyFont="1" applyFill="1" applyBorder="1" applyAlignment="1">
      <alignment vertical="center"/>
    </xf>
    <xf numFmtId="0" fontId="8" fillId="7" borderId="22" xfId="4" applyFont="1" applyFill="1" applyBorder="1" applyAlignment="1">
      <alignment vertical="center"/>
    </xf>
    <xf numFmtId="0" fontId="11" fillId="7" borderId="21" xfId="4" applyFont="1" applyFill="1" applyBorder="1" applyAlignment="1">
      <alignment vertical="center"/>
    </xf>
    <xf numFmtId="0" fontId="10" fillId="0" borderId="48" xfId="4" applyFont="1" applyBorder="1" applyAlignment="1">
      <alignment horizontal="center" vertical="center"/>
    </xf>
    <xf numFmtId="0" fontId="10" fillId="7" borderId="48" xfId="4" applyFont="1" applyFill="1" applyBorder="1" applyAlignment="1">
      <alignment horizontal="center" vertical="center"/>
    </xf>
    <xf numFmtId="0" fontId="10" fillId="0" borderId="54" xfId="4" applyFont="1" applyBorder="1" applyAlignment="1">
      <alignment horizontal="center" vertical="center"/>
    </xf>
    <xf numFmtId="0" fontId="10" fillId="7" borderId="54" xfId="4" applyFont="1" applyFill="1" applyBorder="1" applyAlignment="1">
      <alignment horizontal="center" vertical="center"/>
    </xf>
    <xf numFmtId="0" fontId="8" fillId="0" borderId="13" xfId="4" applyFont="1" applyBorder="1" applyAlignment="1">
      <alignment horizontal="right" vertical="center"/>
    </xf>
    <xf numFmtId="0" fontId="8" fillId="0" borderId="23" xfId="4" applyFont="1" applyBorder="1" applyAlignment="1">
      <alignment vertical="center"/>
    </xf>
    <xf numFmtId="0" fontId="8" fillId="0" borderId="22" xfId="4" applyFont="1" applyBorder="1" applyAlignment="1">
      <alignment vertical="center"/>
    </xf>
    <xf numFmtId="0" fontId="13" fillId="7" borderId="53" xfId="4" applyFont="1" applyFill="1" applyBorder="1" applyAlignment="1">
      <alignment horizontal="center" vertical="center"/>
    </xf>
    <xf numFmtId="49" fontId="13" fillId="7" borderId="53" xfId="4" applyNumberFormat="1" applyFont="1" applyFill="1" applyBorder="1" applyAlignment="1">
      <alignment horizontal="center" vertical="center" wrapText="1"/>
    </xf>
    <xf numFmtId="0" fontId="8" fillId="0" borderId="21" xfId="4" applyFont="1" applyBorder="1" applyAlignment="1">
      <alignment horizontal="left" vertical="center"/>
    </xf>
    <xf numFmtId="164" fontId="9" fillId="0" borderId="23" xfId="5" applyNumberFormat="1" applyFont="1" applyBorder="1" applyAlignment="1">
      <alignment vertical="center"/>
    </xf>
    <xf numFmtId="164" fontId="9" fillId="0" borderId="22" xfId="5" applyNumberFormat="1" applyFont="1" applyBorder="1" applyAlignment="1">
      <alignment vertical="center"/>
    </xf>
    <xf numFmtId="0" fontId="13" fillId="0" borderId="22" xfId="4" applyFont="1" applyBorder="1" applyAlignment="1">
      <alignment vertical="center"/>
    </xf>
    <xf numFmtId="49" fontId="11" fillId="0" borderId="21" xfId="4" applyNumberFormat="1" applyFont="1" applyBorder="1" applyAlignment="1">
      <alignment horizontal="left" vertical="center"/>
    </xf>
    <xf numFmtId="0" fontId="8" fillId="0" borderId="21" xfId="4" applyFont="1" applyBorder="1" applyAlignment="1">
      <alignment vertical="center"/>
    </xf>
    <xf numFmtId="0" fontId="10" fillId="8" borderId="21" xfId="4" applyFont="1" applyFill="1" applyBorder="1" applyAlignment="1">
      <alignment horizontal="center" vertical="center"/>
    </xf>
    <xf numFmtId="0" fontId="8" fillId="0" borderId="21" xfId="4" applyFont="1" applyBorder="1" applyAlignment="1">
      <alignment horizontal="center" vertical="center"/>
    </xf>
    <xf numFmtId="0" fontId="13" fillId="8" borderId="21" xfId="4" applyFont="1" applyFill="1" applyBorder="1" applyAlignment="1">
      <alignment horizontal="center" vertical="center"/>
    </xf>
    <xf numFmtId="49" fontId="8" fillId="0" borderId="21" xfId="4" applyNumberFormat="1" applyFont="1" applyBorder="1" applyAlignment="1">
      <alignment horizontal="left" vertical="center"/>
    </xf>
    <xf numFmtId="0" fontId="11" fillId="0" borderId="22" xfId="4" applyFont="1" applyBorder="1" applyAlignment="1">
      <alignment horizontal="right" vertical="center"/>
    </xf>
    <xf numFmtId="49" fontId="11" fillId="0" borderId="37" xfId="4" applyNumberFormat="1" applyFont="1" applyBorder="1" applyAlignment="1">
      <alignment horizontal="left" vertical="center"/>
    </xf>
    <xf numFmtId="49" fontId="10" fillId="7" borderId="54" xfId="4" applyNumberFormat="1" applyFont="1" applyFill="1" applyBorder="1" applyAlignment="1">
      <alignment horizontal="center" vertical="center" wrapText="1"/>
    </xf>
    <xf numFmtId="0" fontId="8" fillId="0" borderId="16" xfId="4" applyFont="1" applyBorder="1" applyAlignment="1">
      <alignment horizontal="center" vertical="center"/>
    </xf>
    <xf numFmtId="0" fontId="10" fillId="0" borderId="45" xfId="4" applyFont="1" applyBorder="1" applyAlignment="1">
      <alignment horizontal="center" vertical="center"/>
    </xf>
    <xf numFmtId="0" fontId="11" fillId="0" borderId="0" xfId="4" applyFont="1" applyAlignment="1">
      <alignment vertical="center"/>
    </xf>
    <xf numFmtId="0" fontId="11" fillId="0" borderId="16" xfId="4" applyFont="1" applyBorder="1" applyAlignment="1">
      <alignment vertical="center"/>
    </xf>
    <xf numFmtId="0" fontId="11" fillId="0" borderId="16" xfId="4" applyFont="1" applyBorder="1" applyAlignment="1">
      <alignment horizontal="center" vertical="center"/>
    </xf>
    <xf numFmtId="0" fontId="11" fillId="0" borderId="23" xfId="4" applyFont="1" applyBorder="1" applyAlignment="1">
      <alignment vertical="center"/>
    </xf>
    <xf numFmtId="0" fontId="10" fillId="0" borderId="53" xfId="4" applyFont="1" applyBorder="1" applyAlignment="1">
      <alignment horizontal="center" vertical="center"/>
    </xf>
    <xf numFmtId="49" fontId="10" fillId="7" borderId="53" xfId="4" applyNumberFormat="1" applyFont="1" applyFill="1" applyBorder="1" applyAlignment="1">
      <alignment horizontal="center" vertical="center" wrapText="1"/>
    </xf>
    <xf numFmtId="0" fontId="8" fillId="0" borderId="55" xfId="4" applyFont="1" applyBorder="1" applyAlignment="1">
      <alignment vertical="center"/>
    </xf>
    <xf numFmtId="49" fontId="8" fillId="0" borderId="37" xfId="4" applyNumberFormat="1" applyFont="1" applyBorder="1" applyAlignment="1">
      <alignment horizontal="left" vertical="center"/>
    </xf>
    <xf numFmtId="2" fontId="8" fillId="0" borderId="0" xfId="4" quotePrefix="1" applyNumberFormat="1" applyFont="1" applyAlignment="1">
      <alignment vertical="center"/>
    </xf>
    <xf numFmtId="0" fontId="13" fillId="7" borderId="48" xfId="4" applyFont="1" applyFill="1" applyBorder="1" applyAlignment="1">
      <alignment horizontal="center" vertical="center"/>
    </xf>
    <xf numFmtId="49" fontId="13" fillId="7" borderId="48" xfId="4" applyNumberFormat="1" applyFont="1" applyFill="1" applyBorder="1" applyAlignment="1">
      <alignment horizontal="center" vertical="center" wrapText="1"/>
    </xf>
    <xf numFmtId="0" fontId="11" fillId="0" borderId="0" xfId="4" applyFont="1" applyAlignment="1">
      <alignment horizontal="right" vertical="center"/>
    </xf>
    <xf numFmtId="0" fontId="11" fillId="0" borderId="49" xfId="4" applyFont="1" applyBorder="1" applyAlignment="1">
      <alignment vertical="center"/>
    </xf>
    <xf numFmtId="49" fontId="11" fillId="0" borderId="56" xfId="4" applyNumberFormat="1" applyFont="1" applyBorder="1" applyAlignment="1">
      <alignment horizontal="left" vertical="center"/>
    </xf>
    <xf numFmtId="0" fontId="11" fillId="0" borderId="0" xfId="4" quotePrefix="1" applyFont="1" applyAlignment="1">
      <alignment vertical="center"/>
    </xf>
    <xf numFmtId="2" fontId="8" fillId="0" borderId="57" xfId="4" applyNumberFormat="1" applyFont="1" applyBorder="1" applyAlignment="1">
      <alignment horizontal="left" vertical="center" wrapText="1"/>
    </xf>
    <xf numFmtId="2" fontId="8" fillId="0" borderId="16" xfId="4" applyNumberFormat="1" applyFont="1" applyBorder="1" applyAlignment="1">
      <alignment horizontal="left" vertical="center" wrapText="1"/>
    </xf>
    <xf numFmtId="49" fontId="8" fillId="0" borderId="51" xfId="4" applyNumberFormat="1" applyFont="1" applyBorder="1" applyAlignment="1">
      <alignment horizontal="left" vertical="center"/>
    </xf>
    <xf numFmtId="2" fontId="11" fillId="0" borderId="57" xfId="4" applyNumberFormat="1" applyFont="1" applyBorder="1" applyAlignment="1">
      <alignment horizontal="left" vertical="center" wrapText="1"/>
    </xf>
    <xf numFmtId="2" fontId="11" fillId="0" borderId="16" xfId="4" applyNumberFormat="1" applyFont="1" applyBorder="1" applyAlignment="1">
      <alignment horizontal="left" vertical="center" wrapText="1"/>
    </xf>
    <xf numFmtId="0" fontId="8" fillId="0" borderId="0" xfId="4" quotePrefix="1" applyFont="1" applyAlignment="1">
      <alignment vertical="center"/>
    </xf>
    <xf numFmtId="0" fontId="13" fillId="7" borderId="54" xfId="4" applyFont="1" applyFill="1" applyBorder="1" applyAlignment="1">
      <alignment horizontal="center" vertical="center"/>
    </xf>
    <xf numFmtId="2" fontId="8" fillId="0" borderId="49" xfId="4" applyNumberFormat="1" applyFont="1" applyBorder="1" applyAlignment="1">
      <alignment horizontal="left" vertical="center" wrapText="1"/>
    </xf>
    <xf numFmtId="49" fontId="8" fillId="0" borderId="57" xfId="4" applyNumberFormat="1" applyFont="1" applyBorder="1" applyAlignment="1">
      <alignment horizontal="left" vertical="center"/>
    </xf>
    <xf numFmtId="49" fontId="8" fillId="0" borderId="54" xfId="4" applyNumberFormat="1" applyFont="1" applyBorder="1" applyAlignment="1">
      <alignment horizontal="left" vertical="center"/>
    </xf>
    <xf numFmtId="164" fontId="11" fillId="0" borderId="0" xfId="4" quotePrefix="1" applyNumberFormat="1" applyFont="1" applyAlignment="1">
      <alignment vertical="center"/>
    </xf>
    <xf numFmtId="0" fontId="11" fillId="0" borderId="13" xfId="4" applyFont="1" applyBorder="1" applyAlignment="1">
      <alignment vertical="center"/>
    </xf>
    <xf numFmtId="2" fontId="11" fillId="0" borderId="13" xfId="4" applyNumberFormat="1" applyFont="1" applyBorder="1" applyAlignment="1">
      <alignment horizontal="left" vertical="center" wrapText="1"/>
    </xf>
    <xf numFmtId="49" fontId="11" fillId="0" borderId="13" xfId="4" applyNumberFormat="1" applyFont="1" applyBorder="1" applyAlignment="1">
      <alignment horizontal="left" vertical="center"/>
    </xf>
    <xf numFmtId="49" fontId="8" fillId="0" borderId="13" xfId="4" applyNumberFormat="1" applyFont="1" applyBorder="1" applyAlignment="1">
      <alignment horizontal="left" vertical="center"/>
    </xf>
    <xf numFmtId="2" fontId="8" fillId="0" borderId="13" xfId="4" applyNumberFormat="1" applyFont="1" applyBorder="1" applyAlignment="1">
      <alignment horizontal="left" vertical="center" wrapText="1"/>
    </xf>
    <xf numFmtId="49" fontId="8" fillId="0" borderId="16" xfId="4" applyNumberFormat="1" applyFont="1" applyBorder="1" applyAlignment="1">
      <alignment horizontal="left" vertical="center"/>
    </xf>
    <xf numFmtId="164" fontId="11" fillId="0" borderId="0" xfId="4" applyNumberFormat="1" applyFont="1" applyAlignment="1">
      <alignment vertical="center"/>
    </xf>
    <xf numFmtId="164" fontId="11" fillId="0" borderId="16" xfId="4" applyNumberFormat="1" applyFont="1" applyBorder="1" applyAlignment="1">
      <alignment vertical="center"/>
    </xf>
    <xf numFmtId="49" fontId="8" fillId="0" borderId="56" xfId="4" applyNumberFormat="1" applyFont="1" applyBorder="1" applyAlignment="1">
      <alignment horizontal="left" vertical="center"/>
    </xf>
    <xf numFmtId="164" fontId="8" fillId="0" borderId="16" xfId="4" applyNumberFormat="1" applyFont="1" applyBorder="1" applyAlignment="1">
      <alignment vertical="center"/>
    </xf>
    <xf numFmtId="0" fontId="10" fillId="7" borderId="45" xfId="4" applyFont="1" applyFill="1" applyBorder="1" applyAlignment="1">
      <alignment horizontal="center" vertical="center"/>
    </xf>
    <xf numFmtId="164" fontId="8" fillId="0" borderId="13" xfId="4" applyNumberFormat="1" applyFont="1" applyBorder="1" applyAlignment="1">
      <alignment vertical="center"/>
    </xf>
    <xf numFmtId="49" fontId="8" fillId="0" borderId="61" xfId="4" applyNumberFormat="1" applyFont="1" applyBorder="1" applyAlignment="1">
      <alignment horizontal="left" vertical="center"/>
    </xf>
    <xf numFmtId="0" fontId="11" fillId="7" borderId="37" xfId="4" applyFont="1" applyFill="1" applyBorder="1" applyAlignment="1">
      <alignment horizontal="left" vertical="center"/>
    </xf>
    <xf numFmtId="49" fontId="11" fillId="7" borderId="53" xfId="4" applyNumberFormat="1" applyFont="1" applyFill="1" applyBorder="1" applyAlignment="1">
      <alignment horizontal="center" vertical="center" wrapText="1"/>
    </xf>
    <xf numFmtId="49" fontId="8" fillId="7" borderId="62" xfId="4" applyNumberFormat="1" applyFont="1" applyFill="1" applyBorder="1" applyAlignment="1">
      <alignment horizontal="center" vertical="center" wrapText="1"/>
    </xf>
    <xf numFmtId="0" fontId="8" fillId="0" borderId="10" xfId="4" applyFont="1" applyBorder="1" applyAlignment="1">
      <alignment horizontal="right" vertical="center"/>
    </xf>
    <xf numFmtId="0" fontId="8" fillId="0" borderId="10" xfId="4" applyFont="1" applyBorder="1" applyAlignment="1">
      <alignment vertical="center"/>
    </xf>
    <xf numFmtId="0" fontId="8" fillId="0" borderId="9" xfId="4" applyFont="1" applyBorder="1" applyAlignment="1">
      <alignment vertical="center"/>
    </xf>
    <xf numFmtId="49" fontId="8" fillId="0" borderId="63" xfId="4" applyNumberFormat="1" applyFont="1" applyBorder="1" applyAlignment="1">
      <alignment horizontal="left" vertical="center"/>
    </xf>
    <xf numFmtId="49" fontId="10" fillId="7" borderId="39" xfId="4" applyNumberFormat="1" applyFont="1" applyFill="1" applyBorder="1" applyAlignment="1">
      <alignment horizontal="center" vertical="center" wrapText="1"/>
    </xf>
    <xf numFmtId="0" fontId="10" fillId="0" borderId="39" xfId="4" applyFont="1" applyBorder="1" applyAlignment="1">
      <alignment horizontal="center" vertical="center"/>
    </xf>
    <xf numFmtId="0" fontId="8" fillId="0" borderId="4" xfId="4" applyFont="1" applyBorder="1" applyAlignment="1">
      <alignment vertical="center"/>
    </xf>
    <xf numFmtId="0" fontId="8" fillId="0" borderId="3" xfId="4" applyFont="1" applyBorder="1" applyAlignment="1">
      <alignment vertical="center"/>
    </xf>
    <xf numFmtId="49" fontId="8" fillId="0" borderId="64" xfId="4" applyNumberFormat="1" applyFont="1" applyBorder="1" applyAlignment="1">
      <alignment horizontal="left" vertical="center"/>
    </xf>
    <xf numFmtId="49" fontId="10" fillId="7" borderId="59" xfId="4" applyNumberFormat="1" applyFont="1" applyFill="1" applyBorder="1" applyAlignment="1">
      <alignment vertical="center" wrapText="1"/>
    </xf>
    <xf numFmtId="49" fontId="10" fillId="7" borderId="0" xfId="4" applyNumberFormat="1" applyFont="1" applyFill="1" applyAlignment="1">
      <alignment vertical="center" wrapText="1"/>
    </xf>
    <xf numFmtId="49" fontId="10" fillId="7" borderId="28" xfId="4" applyNumberFormat="1" applyFont="1" applyFill="1" applyBorder="1" applyAlignment="1">
      <alignment vertical="center" wrapText="1"/>
    </xf>
    <xf numFmtId="49" fontId="8" fillId="0" borderId="46" xfId="4" applyNumberFormat="1" applyFont="1" applyBorder="1" applyAlignment="1">
      <alignment horizontal="left" vertical="center"/>
    </xf>
    <xf numFmtId="0" fontId="8" fillId="0" borderId="57" xfId="4" applyFont="1" applyBorder="1" applyAlignment="1">
      <alignment vertical="center"/>
    </xf>
    <xf numFmtId="49" fontId="8" fillId="0" borderId="65" xfId="4" applyNumberFormat="1" applyFont="1" applyBorder="1" applyAlignment="1">
      <alignment horizontal="left" vertical="center"/>
    </xf>
    <xf numFmtId="164" fontId="13" fillId="7" borderId="52" xfId="4" applyNumberFormat="1" applyFont="1" applyFill="1" applyBorder="1" applyAlignment="1">
      <alignment horizontal="center" vertical="center"/>
    </xf>
    <xf numFmtId="0" fontId="11" fillId="0" borderId="55" xfId="4" applyFont="1" applyBorder="1" applyAlignment="1">
      <alignment vertical="center"/>
    </xf>
    <xf numFmtId="0" fontId="11" fillId="0" borderId="57" xfId="4" applyFont="1" applyBorder="1" applyAlignment="1">
      <alignment vertical="center"/>
    </xf>
    <xf numFmtId="164" fontId="10" fillId="0" borderId="44" xfId="5" applyNumberFormat="1" applyFont="1" applyBorder="1" applyAlignment="1">
      <alignment horizontal="center" vertical="center"/>
    </xf>
    <xf numFmtId="43" fontId="8" fillId="0" borderId="0" xfId="4" applyNumberFormat="1" applyFont="1" applyAlignment="1">
      <alignment vertical="center"/>
    </xf>
    <xf numFmtId="0" fontId="11" fillId="7" borderId="22" xfId="4" applyFont="1" applyFill="1" applyBorder="1" applyAlignment="1">
      <alignment vertical="center"/>
    </xf>
    <xf numFmtId="0" fontId="8" fillId="0" borderId="5" xfId="4" applyFont="1" applyBorder="1" applyAlignment="1">
      <alignment vertical="center"/>
    </xf>
    <xf numFmtId="0" fontId="10" fillId="0" borderId="0" xfId="4" applyFont="1" applyAlignment="1">
      <alignment vertical="center"/>
    </xf>
    <xf numFmtId="49" fontId="10" fillId="7" borderId="46" xfId="4" applyNumberFormat="1" applyFont="1" applyFill="1" applyBorder="1" applyAlignment="1">
      <alignment horizontal="center" vertical="center" wrapText="1"/>
    </xf>
    <xf numFmtId="0" fontId="11" fillId="7" borderId="23" xfId="4" applyFont="1" applyFill="1" applyBorder="1" applyAlignment="1">
      <alignment vertical="center"/>
    </xf>
    <xf numFmtId="0" fontId="8" fillId="0" borderId="58" xfId="4" applyFont="1" applyBorder="1" applyAlignment="1">
      <alignment vertical="center"/>
    </xf>
    <xf numFmtId="49" fontId="13" fillId="7" borderId="37" xfId="4" applyNumberFormat="1" applyFont="1" applyFill="1" applyBorder="1" applyAlignment="1">
      <alignment horizontal="center" vertical="center" wrapText="1"/>
    </xf>
    <xf numFmtId="43" fontId="11" fillId="0" borderId="0" xfId="4" quotePrefix="1" applyNumberFormat="1" applyFont="1" applyAlignment="1">
      <alignment vertical="center"/>
    </xf>
    <xf numFmtId="43" fontId="11" fillId="0" borderId="0" xfId="4" applyNumberFormat="1" applyFont="1" applyAlignment="1">
      <alignment vertical="center"/>
    </xf>
    <xf numFmtId="0" fontId="10" fillId="0" borderId="26" xfId="4" applyFont="1" applyBorder="1" applyAlignment="1">
      <alignment horizontal="center" vertical="center"/>
    </xf>
    <xf numFmtId="49" fontId="10" fillId="7" borderId="26" xfId="4" applyNumberFormat="1" applyFont="1" applyFill="1" applyBorder="1" applyAlignment="1">
      <alignment horizontal="center" vertical="center" wrapText="1"/>
    </xf>
    <xf numFmtId="0" fontId="10" fillId="0" borderId="62" xfId="4" applyFont="1" applyBorder="1" applyAlignment="1">
      <alignment horizontal="center" vertical="center"/>
    </xf>
    <xf numFmtId="49" fontId="10" fillId="7" borderId="62" xfId="4" applyNumberFormat="1" applyFont="1" applyFill="1" applyBorder="1" applyAlignment="1">
      <alignment horizontal="center" vertical="center" wrapText="1"/>
    </xf>
    <xf numFmtId="0" fontId="8" fillId="0" borderId="9" xfId="4" applyFont="1" applyBorder="1" applyAlignment="1">
      <alignment horizontal="left" vertical="center"/>
    </xf>
    <xf numFmtId="0" fontId="11" fillId="7" borderId="20" xfId="4" applyFont="1" applyFill="1" applyBorder="1" applyAlignment="1">
      <alignment vertical="center"/>
    </xf>
    <xf numFmtId="0" fontId="11" fillId="7" borderId="19" xfId="4" applyFont="1" applyFill="1" applyBorder="1" applyAlignment="1">
      <alignment vertical="center"/>
    </xf>
    <xf numFmtId="0" fontId="11" fillId="7" borderId="18" xfId="4" applyFont="1" applyFill="1" applyBorder="1" applyAlignment="1">
      <alignment vertical="center"/>
    </xf>
    <xf numFmtId="0" fontId="11" fillId="7" borderId="68" xfId="4" applyFont="1" applyFill="1" applyBorder="1" applyAlignment="1">
      <alignment horizontal="left" vertical="center"/>
    </xf>
    <xf numFmtId="0" fontId="8" fillId="9" borderId="0" xfId="4" applyFont="1" applyFill="1" applyAlignment="1">
      <alignment vertical="center"/>
    </xf>
    <xf numFmtId="0" fontId="11" fillId="9" borderId="1" xfId="4" applyFont="1" applyFill="1" applyBorder="1" applyAlignment="1">
      <alignment vertical="center"/>
    </xf>
    <xf numFmtId="0" fontId="8" fillId="9" borderId="44" xfId="4" applyFont="1" applyFill="1" applyBorder="1" applyAlignment="1">
      <alignment horizontal="left" vertical="center"/>
    </xf>
    <xf numFmtId="0" fontId="8" fillId="9" borderId="66" xfId="4" applyFont="1" applyFill="1" applyBorder="1" applyAlignment="1">
      <alignment horizontal="left" vertical="center"/>
    </xf>
    <xf numFmtId="0" fontId="8" fillId="9" borderId="49" xfId="4" applyFont="1" applyFill="1" applyBorder="1" applyAlignment="1">
      <alignment horizontal="left" vertical="center"/>
    </xf>
    <xf numFmtId="0" fontId="8" fillId="9" borderId="47" xfId="4" applyFont="1" applyFill="1" applyBorder="1" applyAlignment="1">
      <alignment horizontal="left" vertical="center"/>
    </xf>
    <xf numFmtId="0" fontId="8" fillId="7" borderId="54" xfId="4" applyFont="1" applyFill="1" applyBorder="1" applyAlignment="1">
      <alignment horizontal="center" vertical="center" wrapText="1"/>
    </xf>
    <xf numFmtId="0" fontId="8" fillId="9" borderId="49" xfId="4" applyFont="1" applyFill="1" applyBorder="1" applyAlignment="1">
      <alignment horizontal="center" vertical="center"/>
    </xf>
    <xf numFmtId="0" fontId="8" fillId="9" borderId="47" xfId="4" applyFont="1" applyFill="1" applyBorder="1" applyAlignment="1">
      <alignment horizontal="center" vertical="center"/>
    </xf>
    <xf numFmtId="0" fontId="11" fillId="9" borderId="2" xfId="4" applyFont="1" applyFill="1" applyBorder="1" applyAlignment="1">
      <alignment horizontal="left" vertical="center"/>
    </xf>
    <xf numFmtId="0" fontId="8" fillId="9" borderId="0" xfId="4" applyFont="1" applyFill="1" applyAlignment="1">
      <alignment horizontal="center" vertical="center"/>
    </xf>
    <xf numFmtId="0" fontId="11" fillId="9" borderId="0" xfId="4" applyFont="1" applyFill="1" applyAlignment="1">
      <alignment horizontal="left" vertical="center"/>
    </xf>
    <xf numFmtId="0" fontId="11" fillId="9" borderId="1" xfId="4" applyFont="1" applyFill="1" applyBorder="1" applyAlignment="1">
      <alignment horizontal="left" vertical="center"/>
    </xf>
    <xf numFmtId="0" fontId="14" fillId="0" borderId="0" xfId="4" applyFont="1" applyAlignment="1">
      <alignment vertical="center"/>
    </xf>
    <xf numFmtId="0" fontId="11" fillId="0" borderId="2" xfId="4" applyFont="1" applyBorder="1" applyAlignment="1">
      <alignment horizontal="center" vertical="center" wrapText="1"/>
    </xf>
    <xf numFmtId="0" fontId="17" fillId="0" borderId="0" xfId="4" applyFont="1" applyAlignment="1">
      <alignment horizontal="center" vertical="center"/>
    </xf>
    <xf numFmtId="0" fontId="19" fillId="0" borderId="0" xfId="4" applyFont="1" applyAlignment="1">
      <alignment horizontal="left" vertical="center"/>
    </xf>
    <xf numFmtId="0" fontId="17" fillId="0" borderId="0" xfId="4" applyFont="1" applyAlignment="1">
      <alignment horizontal="left" vertical="center" wrapText="1"/>
    </xf>
    <xf numFmtId="0" fontId="17" fillId="0" borderId="0" xfId="4" applyFont="1" applyAlignment="1">
      <alignment horizontal="left" vertical="center"/>
    </xf>
    <xf numFmtId="0" fontId="14" fillId="9" borderId="0" xfId="4" applyFont="1" applyFill="1" applyAlignment="1">
      <alignment horizontal="center" vertical="center"/>
    </xf>
    <xf numFmtId="0" fontId="11" fillId="0" borderId="1" xfId="4" applyFont="1" applyBorder="1" applyAlignment="1">
      <alignment horizontal="left" vertical="center"/>
    </xf>
    <xf numFmtId="0" fontId="6" fillId="0" borderId="0" xfId="4" applyFont="1" applyAlignment="1">
      <alignment vertical="center"/>
    </xf>
    <xf numFmtId="0" fontId="5" fillId="7" borderId="5" xfId="4" applyFont="1" applyFill="1" applyBorder="1" applyAlignment="1">
      <alignment horizontal="left" vertical="center" wrapText="1"/>
    </xf>
    <xf numFmtId="0" fontId="5" fillId="7" borderId="4" xfId="4" applyFont="1" applyFill="1" applyBorder="1" applyAlignment="1">
      <alignment horizontal="left" vertical="center" wrapText="1"/>
    </xf>
    <xf numFmtId="0" fontId="6" fillId="7" borderId="4" xfId="4" applyFont="1" applyFill="1" applyBorder="1" applyAlignment="1">
      <alignment horizontal="left" vertical="center" wrapText="1"/>
    </xf>
    <xf numFmtId="0" fontId="5" fillId="7" borderId="5" xfId="4" applyFont="1" applyFill="1" applyBorder="1" applyAlignment="1">
      <alignment horizontal="center" vertical="center"/>
    </xf>
    <xf numFmtId="0" fontId="5" fillId="7" borderId="4" xfId="4" applyFont="1" applyFill="1" applyBorder="1" applyAlignment="1">
      <alignment horizontal="center" vertical="center"/>
    </xf>
    <xf numFmtId="0" fontId="5" fillId="7" borderId="4" xfId="4" applyFont="1" applyFill="1" applyBorder="1" applyAlignment="1">
      <alignment horizontal="left" vertical="center"/>
    </xf>
    <xf numFmtId="0" fontId="5" fillId="7" borderId="3" xfId="4" applyFont="1" applyFill="1" applyBorder="1" applyAlignment="1">
      <alignment horizontal="left" vertical="center"/>
    </xf>
    <xf numFmtId="0" fontId="5" fillId="7" borderId="20" xfId="4" applyFont="1" applyFill="1" applyBorder="1" applyAlignment="1">
      <alignment horizontal="left" vertical="center" wrapText="1"/>
    </xf>
    <xf numFmtId="0" fontId="5" fillId="7" borderId="19" xfId="4" applyFont="1" applyFill="1" applyBorder="1" applyAlignment="1">
      <alignment horizontal="left" vertical="center" wrapText="1"/>
    </xf>
    <xf numFmtId="0" fontId="6" fillId="7" borderId="19" xfId="4" applyFont="1" applyFill="1" applyBorder="1" applyAlignment="1">
      <alignment horizontal="left" vertical="center" wrapText="1"/>
    </xf>
    <xf numFmtId="0" fontId="5" fillId="7" borderId="20" xfId="4" applyFont="1" applyFill="1" applyBorder="1" applyAlignment="1">
      <alignment horizontal="center" vertical="center"/>
    </xf>
    <xf numFmtId="0" fontId="5" fillId="7" borderId="19" xfId="4" applyFont="1" applyFill="1" applyBorder="1" applyAlignment="1">
      <alignment horizontal="center" vertical="center"/>
    </xf>
    <xf numFmtId="0" fontId="6" fillId="7" borderId="19" xfId="4" applyFont="1" applyFill="1" applyBorder="1" applyAlignment="1">
      <alignment vertical="center"/>
    </xf>
    <xf numFmtId="0" fontId="6" fillId="7" borderId="19" xfId="4" applyFont="1" applyFill="1" applyBorder="1" applyAlignment="1">
      <alignment horizontal="center" vertical="center"/>
    </xf>
    <xf numFmtId="0" fontId="13" fillId="7" borderId="19" xfId="4" applyFont="1" applyFill="1" applyBorder="1" applyAlignment="1">
      <alignment horizontal="left" vertical="center"/>
    </xf>
    <xf numFmtId="0" fontId="5" fillId="7" borderId="19" xfId="4" applyFont="1" applyFill="1" applyBorder="1" applyAlignment="1">
      <alignment horizontal="left" vertical="center"/>
    </xf>
    <xf numFmtId="0" fontId="5" fillId="7" borderId="18" xfId="4" applyFont="1" applyFill="1" applyBorder="1" applyAlignment="1">
      <alignment horizontal="left" vertical="center"/>
    </xf>
    <xf numFmtId="0" fontId="8" fillId="0" borderId="32" xfId="4" applyFont="1" applyBorder="1" applyAlignment="1">
      <alignment horizontal="left" vertical="center"/>
    </xf>
    <xf numFmtId="0" fontId="8" fillId="0" borderId="17" xfId="4" applyFont="1" applyBorder="1" applyAlignment="1">
      <alignment horizontal="center" vertical="center"/>
    </xf>
    <xf numFmtId="0" fontId="8" fillId="0" borderId="16" xfId="4" applyFont="1" applyBorder="1" applyAlignment="1">
      <alignment horizontal="left" vertical="center"/>
    </xf>
    <xf numFmtId="0" fontId="8" fillId="0" borderId="2" xfId="4" applyFont="1" applyBorder="1" applyAlignment="1">
      <alignment horizontal="center" vertical="center" wrapText="1"/>
    </xf>
    <xf numFmtId="0" fontId="8" fillId="0" borderId="0" xfId="4" applyFont="1" applyAlignment="1">
      <alignment horizontal="center" vertical="center" wrapText="1"/>
    </xf>
    <xf numFmtId="0" fontId="8" fillId="0" borderId="1" xfId="4" applyFont="1" applyBorder="1" applyAlignment="1">
      <alignment horizontal="center" vertical="center" wrapText="1"/>
    </xf>
    <xf numFmtId="0" fontId="8" fillId="0" borderId="19" xfId="4" applyFont="1" applyBorder="1" applyAlignment="1">
      <alignment vertical="center"/>
    </xf>
    <xf numFmtId="0" fontId="8" fillId="0" borderId="42" xfId="4" applyFont="1" applyBorder="1" applyAlignment="1">
      <alignment horizontal="left" vertical="center"/>
    </xf>
    <xf numFmtId="0" fontId="10" fillId="7" borderId="62" xfId="4" applyFont="1" applyFill="1" applyBorder="1" applyAlignment="1">
      <alignment horizontal="center" vertical="center" wrapText="1"/>
    </xf>
    <xf numFmtId="0" fontId="8" fillId="0" borderId="10" xfId="4" applyFont="1" applyBorder="1" applyAlignment="1">
      <alignment horizontal="left" vertical="center"/>
    </xf>
    <xf numFmtId="0" fontId="10" fillId="7" borderId="63" xfId="4" applyFont="1" applyFill="1" applyBorder="1" applyAlignment="1">
      <alignment horizontal="center" vertical="center" wrapText="1"/>
    </xf>
    <xf numFmtId="0" fontId="8" fillId="0" borderId="66" xfId="4" applyFont="1" applyBorder="1" applyAlignment="1">
      <alignment vertical="center"/>
    </xf>
    <xf numFmtId="0" fontId="8" fillId="0" borderId="14" xfId="4" applyFont="1" applyBorder="1" applyAlignment="1">
      <alignment vertical="center"/>
    </xf>
    <xf numFmtId="0" fontId="8" fillId="0" borderId="16" xfId="4" applyFont="1" applyBorder="1" applyAlignment="1">
      <alignment horizontal="right" vertical="center"/>
    </xf>
    <xf numFmtId="0" fontId="8" fillId="10" borderId="23" xfId="4" applyFont="1" applyFill="1" applyBorder="1" applyAlignment="1">
      <alignment vertical="center"/>
    </xf>
    <xf numFmtId="0" fontId="8" fillId="10" borderId="22" xfId="4" applyFont="1" applyFill="1" applyBorder="1" applyAlignment="1">
      <alignment vertical="center"/>
    </xf>
    <xf numFmtId="0" fontId="8" fillId="10" borderId="21" xfId="4" applyFont="1" applyFill="1" applyBorder="1" applyAlignment="1">
      <alignment vertical="center"/>
    </xf>
    <xf numFmtId="0" fontId="11" fillId="10" borderId="37" xfId="4" applyFont="1" applyFill="1" applyBorder="1" applyAlignment="1">
      <alignment horizontal="left" vertical="center"/>
    </xf>
    <xf numFmtId="0" fontId="8" fillId="0" borderId="53" xfId="4" applyFont="1" applyBorder="1" applyAlignment="1">
      <alignment horizontal="center" vertical="center"/>
    </xf>
    <xf numFmtId="0" fontId="13" fillId="0" borderId="22" xfId="4" applyFont="1" applyBorder="1" applyAlignment="1">
      <alignment horizontal="center" vertical="center"/>
    </xf>
    <xf numFmtId="0" fontId="11" fillId="0" borderId="22" xfId="4" applyFont="1" applyBorder="1" applyAlignment="1">
      <alignment horizontal="center" vertical="center"/>
    </xf>
    <xf numFmtId="0" fontId="13" fillId="11" borderId="21" xfId="4" applyFont="1" applyFill="1" applyBorder="1" applyAlignment="1">
      <alignment horizontal="center" vertical="center"/>
    </xf>
    <xf numFmtId="0" fontId="13" fillId="7" borderId="24" xfId="4" applyFont="1" applyFill="1" applyBorder="1" applyAlignment="1">
      <alignment horizontal="center" vertical="center"/>
    </xf>
    <xf numFmtId="0" fontId="11" fillId="7" borderId="22" xfId="4" applyFont="1" applyFill="1" applyBorder="1" applyAlignment="1">
      <alignment horizontal="right" vertical="center"/>
    </xf>
    <xf numFmtId="49" fontId="11" fillId="7" borderId="37" xfId="4" applyNumberFormat="1" applyFont="1" applyFill="1" applyBorder="1" applyAlignment="1">
      <alignment horizontal="left" vertical="center"/>
    </xf>
    <xf numFmtId="0" fontId="11" fillId="10" borderId="23" xfId="4" applyFont="1" applyFill="1" applyBorder="1" applyAlignment="1">
      <alignment horizontal="center" vertical="center"/>
    </xf>
    <xf numFmtId="9" fontId="8" fillId="0" borderId="32" xfId="4" applyNumberFormat="1" applyFont="1" applyBorder="1" applyAlignment="1">
      <alignment horizontal="center" vertical="center"/>
    </xf>
    <xf numFmtId="0" fontId="10" fillId="0" borderId="30" xfId="4" applyFont="1" applyBorder="1" applyAlignment="1">
      <alignment horizontal="center" vertical="center"/>
    </xf>
    <xf numFmtId="0" fontId="5" fillId="7" borderId="39" xfId="4" applyFont="1" applyFill="1" applyBorder="1" applyAlignment="1">
      <alignment horizontal="center" vertical="center"/>
    </xf>
    <xf numFmtId="0" fontId="11" fillId="0" borderId="40" xfId="4" applyFont="1" applyBorder="1" applyAlignment="1">
      <alignment horizontal="right" vertical="center"/>
    </xf>
    <xf numFmtId="9" fontId="8" fillId="0" borderId="16" xfId="4" applyNumberFormat="1" applyFont="1" applyBorder="1" applyAlignment="1">
      <alignment horizontal="center" vertical="center"/>
    </xf>
    <xf numFmtId="0" fontId="10" fillId="0" borderId="44" xfId="4" applyFont="1" applyBorder="1" applyAlignment="1">
      <alignment horizontal="center" vertical="center"/>
    </xf>
    <xf numFmtId="0" fontId="10" fillId="7" borderId="58" xfId="4" applyFont="1" applyFill="1" applyBorder="1" applyAlignment="1">
      <alignment horizontal="center" vertical="center"/>
    </xf>
    <xf numFmtId="0" fontId="10" fillId="0" borderId="58" xfId="4" applyFont="1" applyBorder="1" applyAlignment="1">
      <alignment horizontal="center" vertical="center"/>
    </xf>
    <xf numFmtId="0" fontId="5" fillId="7" borderId="54" xfId="4" applyFont="1" applyFill="1" applyBorder="1" applyAlignment="1">
      <alignment horizontal="center" vertical="center"/>
    </xf>
    <xf numFmtId="0" fontId="11" fillId="0" borderId="60" xfId="4" applyFont="1" applyBorder="1" applyAlignment="1">
      <alignment horizontal="right" vertical="center"/>
    </xf>
    <xf numFmtId="9" fontId="8" fillId="0" borderId="13" xfId="4" applyNumberFormat="1" applyFont="1" applyBorder="1" applyAlignment="1">
      <alignment horizontal="center" vertical="center"/>
    </xf>
    <xf numFmtId="0" fontId="8" fillId="0" borderId="59" xfId="4" applyFont="1" applyBorder="1" applyAlignment="1">
      <alignment vertical="center"/>
    </xf>
    <xf numFmtId="0" fontId="8" fillId="0" borderId="11" xfId="4" applyFont="1" applyBorder="1" applyAlignment="1">
      <alignment vertical="center"/>
    </xf>
    <xf numFmtId="0" fontId="10" fillId="0" borderId="43" xfId="4" applyFont="1" applyBorder="1" applyAlignment="1">
      <alignment horizontal="center" vertical="center"/>
    </xf>
    <xf numFmtId="0" fontId="10" fillId="7" borderId="62" xfId="4" applyFont="1" applyFill="1" applyBorder="1" applyAlignment="1">
      <alignment horizontal="center" vertical="center"/>
    </xf>
    <xf numFmtId="9" fontId="8" fillId="0" borderId="10" xfId="4" applyNumberFormat="1" applyFont="1" applyBorder="1" applyAlignment="1">
      <alignment horizontal="center" vertical="center"/>
    </xf>
    <xf numFmtId="0" fontId="10" fillId="0" borderId="42" xfId="4" applyFont="1" applyBorder="1" applyAlignment="1">
      <alignment horizontal="center" vertical="center"/>
    </xf>
    <xf numFmtId="0" fontId="10" fillId="7" borderId="43" xfId="4" applyFont="1" applyFill="1" applyBorder="1" applyAlignment="1">
      <alignment horizontal="center" vertical="center"/>
    </xf>
    <xf numFmtId="0" fontId="8" fillId="0" borderId="43" xfId="4" applyFont="1" applyBorder="1" applyAlignment="1">
      <alignment vertical="center"/>
    </xf>
    <xf numFmtId="0" fontId="10" fillId="0" borderId="57" xfId="4" applyFont="1" applyBorder="1" applyAlignment="1">
      <alignment horizontal="center" vertical="center"/>
    </xf>
    <xf numFmtId="0" fontId="10" fillId="0" borderId="51" xfId="4" applyFont="1" applyBorder="1" applyAlignment="1">
      <alignment horizontal="center" vertical="center"/>
    </xf>
    <xf numFmtId="0" fontId="10" fillId="7" borderId="57" xfId="4" applyFont="1" applyFill="1" applyBorder="1" applyAlignment="1">
      <alignment horizontal="center" vertical="center"/>
    </xf>
    <xf numFmtId="0" fontId="8" fillId="0" borderId="60" xfId="4" applyFont="1" applyBorder="1" applyAlignment="1">
      <alignment vertical="center"/>
    </xf>
    <xf numFmtId="0" fontId="8" fillId="0" borderId="70" xfId="4" applyFont="1" applyBorder="1" applyAlignment="1">
      <alignment vertical="center"/>
    </xf>
    <xf numFmtId="0" fontId="13" fillId="7" borderId="24" xfId="4" quotePrefix="1" applyFont="1" applyFill="1" applyBorder="1" applyAlignment="1">
      <alignment horizontal="center" vertical="center"/>
    </xf>
    <xf numFmtId="0" fontId="11" fillId="0" borderId="57" xfId="4" applyFont="1" applyBorder="1" applyAlignment="1">
      <alignment horizontal="right" vertical="center"/>
    </xf>
    <xf numFmtId="0" fontId="7" fillId="7" borderId="54" xfId="4" applyFont="1" applyFill="1" applyBorder="1" applyAlignment="1">
      <alignment horizontal="center" vertical="center"/>
    </xf>
    <xf numFmtId="0" fontId="11" fillId="0" borderId="15" xfId="4" applyFont="1" applyBorder="1" applyAlignment="1">
      <alignment vertical="center"/>
    </xf>
    <xf numFmtId="0" fontId="8" fillId="0" borderId="50" xfId="4" applyFont="1" applyBorder="1" applyAlignment="1">
      <alignment vertical="center"/>
    </xf>
    <xf numFmtId="0" fontId="11" fillId="0" borderId="50" xfId="4" applyFont="1" applyBorder="1" applyAlignment="1">
      <alignment vertical="center"/>
    </xf>
    <xf numFmtId="0" fontId="8" fillId="9" borderId="14" xfId="4" applyFont="1" applyFill="1" applyBorder="1" applyAlignment="1">
      <alignment horizontal="left" vertical="center"/>
    </xf>
    <xf numFmtId="0" fontId="11" fillId="9" borderId="0" xfId="4" applyFont="1" applyFill="1" applyAlignment="1">
      <alignment horizontal="center" vertical="center"/>
    </xf>
    <xf numFmtId="0" fontId="17" fillId="9" borderId="0" xfId="4" applyFont="1" applyFill="1" applyAlignment="1">
      <alignment horizontal="left" vertical="center"/>
    </xf>
    <xf numFmtId="0" fontId="14" fillId="9" borderId="1" xfId="4" applyFont="1" applyFill="1" applyBorder="1" applyAlignment="1">
      <alignment horizontal="center" vertical="center"/>
    </xf>
    <xf numFmtId="0" fontId="14" fillId="0" borderId="57" xfId="4" applyFont="1" applyBorder="1" applyAlignment="1">
      <alignment vertical="center"/>
    </xf>
    <xf numFmtId="0" fontId="14" fillId="0" borderId="16" xfId="4" applyFont="1" applyBorder="1" applyAlignment="1">
      <alignment vertical="center"/>
    </xf>
    <xf numFmtId="0" fontId="14" fillId="9" borderId="16" xfId="4" applyFont="1" applyFill="1" applyBorder="1" applyAlignment="1">
      <alignment horizontal="left" vertical="center"/>
    </xf>
    <xf numFmtId="0" fontId="14" fillId="7" borderId="54" xfId="4" applyFont="1" applyFill="1" applyBorder="1" applyAlignment="1">
      <alignment horizontal="center" vertical="center"/>
    </xf>
    <xf numFmtId="0" fontId="17" fillId="0" borderId="1" xfId="4" applyFont="1" applyBorder="1" applyAlignment="1">
      <alignment horizontal="left" vertical="center"/>
    </xf>
    <xf numFmtId="0" fontId="11" fillId="0" borderId="0" xfId="4" applyFont="1" applyAlignment="1">
      <alignment horizontal="left" vertical="center" wrapText="1"/>
    </xf>
    <xf numFmtId="0" fontId="11" fillId="0" borderId="0" xfId="4" applyFont="1" applyAlignment="1">
      <alignment horizontal="left" vertical="center"/>
    </xf>
    <xf numFmtId="0" fontId="19" fillId="9" borderId="0" xfId="4" applyFont="1" applyFill="1" applyAlignment="1">
      <alignment horizontal="centerContinuous" vertical="center"/>
    </xf>
    <xf numFmtId="0" fontId="8" fillId="9" borderId="1" xfId="4" applyFont="1" applyFill="1" applyBorder="1" applyAlignment="1">
      <alignment horizontal="center" vertical="center"/>
    </xf>
    <xf numFmtId="0" fontId="4" fillId="0" borderId="0" xfId="4"/>
    <xf numFmtId="0" fontId="4" fillId="0" borderId="0" xfId="4" applyAlignment="1">
      <alignment vertical="center"/>
    </xf>
    <xf numFmtId="0" fontId="4" fillId="0" borderId="0" xfId="4" applyAlignment="1">
      <alignment vertical="top"/>
    </xf>
    <xf numFmtId="0" fontId="4" fillId="0" borderId="49" xfId="4" applyBorder="1"/>
    <xf numFmtId="164" fontId="8" fillId="0" borderId="0" xfId="4" applyNumberFormat="1" applyFont="1" applyAlignment="1">
      <alignment vertical="center"/>
    </xf>
    <xf numFmtId="9" fontId="8" fillId="0" borderId="4" xfId="4" applyNumberFormat="1" applyFont="1" applyBorder="1" applyAlignment="1">
      <alignment horizontal="center" vertical="center"/>
    </xf>
    <xf numFmtId="43" fontId="8" fillId="0" borderId="0" xfId="1" applyFont="1" applyAlignment="1">
      <alignment vertical="center"/>
    </xf>
    <xf numFmtId="9" fontId="8" fillId="0" borderId="0" xfId="4" applyNumberFormat="1" applyFont="1" applyAlignment="1">
      <alignment vertical="center"/>
    </xf>
    <xf numFmtId="0" fontId="14" fillId="0" borderId="51" xfId="4" applyFont="1" applyBorder="1" applyAlignment="1">
      <alignment vertical="center"/>
    </xf>
    <xf numFmtId="0" fontId="5" fillId="14" borderId="54" xfId="4" applyFont="1" applyFill="1" applyBorder="1" applyAlignment="1">
      <alignment horizontal="center" vertical="center"/>
    </xf>
    <xf numFmtId="49" fontId="10" fillId="7" borderId="44" xfId="4" applyNumberFormat="1" applyFont="1" applyFill="1" applyBorder="1" applyAlignment="1">
      <alignment horizontal="center" vertical="center" wrapText="1"/>
    </xf>
    <xf numFmtId="49" fontId="10" fillId="7" borderId="30" xfId="4" applyNumberFormat="1" applyFont="1" applyFill="1" applyBorder="1" applyAlignment="1">
      <alignment horizontal="center" vertical="center" wrapText="1"/>
    </xf>
    <xf numFmtId="0" fontId="4" fillId="7" borderId="19" xfId="4" applyFill="1" applyBorder="1" applyAlignment="1">
      <alignment horizontal="center" vertical="center"/>
    </xf>
    <xf numFmtId="0" fontId="4" fillId="7" borderId="19" xfId="4" applyFill="1" applyBorder="1" applyAlignment="1">
      <alignment vertical="center"/>
    </xf>
    <xf numFmtId="0" fontId="4" fillId="7" borderId="19" xfId="4" applyFill="1" applyBorder="1" applyAlignment="1">
      <alignment horizontal="left" vertical="center" wrapText="1"/>
    </xf>
    <xf numFmtId="0" fontId="4" fillId="7" borderId="4" xfId="4" applyFill="1" applyBorder="1" applyAlignment="1">
      <alignment horizontal="left" vertical="center" wrapText="1"/>
    </xf>
    <xf numFmtId="0" fontId="22" fillId="0" borderId="0" xfId="4" applyFont="1" applyAlignment="1">
      <alignment horizontal="center" vertical="center"/>
    </xf>
    <xf numFmtId="164" fontId="10" fillId="0" borderId="54" xfId="5" applyNumberFormat="1" applyFont="1" applyBorder="1" applyAlignment="1">
      <alignment horizontal="center" vertical="center"/>
    </xf>
    <xf numFmtId="0" fontId="13" fillId="7" borderId="52" xfId="4" applyFont="1" applyFill="1" applyBorder="1" applyAlignment="1">
      <alignment horizontal="center" vertical="center"/>
    </xf>
    <xf numFmtId="49" fontId="13" fillId="7" borderId="55" xfId="4" applyNumberFormat="1" applyFont="1" applyFill="1" applyBorder="1" applyAlignment="1">
      <alignment horizontal="center" vertical="center" wrapText="1"/>
    </xf>
    <xf numFmtId="0" fontId="25" fillId="0" borderId="0" xfId="4" applyFont="1"/>
    <xf numFmtId="0" fontId="26" fillId="0" borderId="0" xfId="4" applyFont="1"/>
    <xf numFmtId="0" fontId="27" fillId="0" borderId="0" xfId="4" applyFont="1"/>
    <xf numFmtId="0" fontId="17" fillId="0" borderId="0" xfId="4" applyFont="1" applyAlignment="1">
      <alignment horizontal="center" vertical="top"/>
    </xf>
    <xf numFmtId="0" fontId="29" fillId="6" borderId="80" xfId="4" applyFont="1" applyFill="1" applyBorder="1" applyAlignment="1">
      <alignment horizontal="center" vertical="top"/>
    </xf>
    <xf numFmtId="0" fontId="29" fillId="6" borderId="81" xfId="4" applyFont="1" applyFill="1" applyBorder="1" applyAlignment="1">
      <alignment horizontal="center" vertical="top" wrapText="1"/>
    </xf>
    <xf numFmtId="0" fontId="29" fillId="6" borderId="82" xfId="4" applyFont="1" applyFill="1" applyBorder="1" applyAlignment="1">
      <alignment horizontal="center" vertical="top" wrapText="1"/>
    </xf>
    <xf numFmtId="0" fontId="29" fillId="6" borderId="72" xfId="4" applyFont="1" applyFill="1" applyBorder="1" applyAlignment="1">
      <alignment horizontal="center" vertical="top" wrapText="1"/>
    </xf>
    <xf numFmtId="0" fontId="29" fillId="6" borderId="73" xfId="4" applyFont="1" applyFill="1" applyBorder="1" applyAlignment="1">
      <alignment horizontal="center" vertical="top" wrapText="1"/>
    </xf>
    <xf numFmtId="0" fontId="29" fillId="6" borderId="84" xfId="4" applyFont="1" applyFill="1" applyBorder="1" applyAlignment="1">
      <alignment horizontal="center" vertical="top" wrapText="1"/>
    </xf>
    <xf numFmtId="0" fontId="4" fillId="0" borderId="51" xfId="4" applyBorder="1"/>
    <xf numFmtId="0" fontId="4" fillId="0" borderId="16" xfId="4" applyBorder="1"/>
    <xf numFmtId="0" fontId="4" fillId="0" borderId="13" xfId="4" applyBorder="1"/>
    <xf numFmtId="43" fontId="23" fillId="15" borderId="85" xfId="18" applyFont="1" applyFill="1" applyBorder="1"/>
    <xf numFmtId="167" fontId="30" fillId="16" borderId="54" xfId="4" applyNumberFormat="1" applyFont="1" applyFill="1" applyBorder="1"/>
    <xf numFmtId="0" fontId="30" fillId="16" borderId="54" xfId="4" applyFont="1" applyFill="1" applyBorder="1" applyAlignment="1">
      <alignment horizontal="center"/>
    </xf>
    <xf numFmtId="43" fontId="0" fillId="16" borderId="54" xfId="18" applyFont="1" applyFill="1" applyBorder="1"/>
    <xf numFmtId="43" fontId="24" fillId="16" borderId="54" xfId="18" applyFont="1" applyFill="1" applyBorder="1"/>
    <xf numFmtId="43" fontId="1" fillId="16" borderId="54" xfId="18" applyFont="1" applyFill="1" applyBorder="1"/>
    <xf numFmtId="43" fontId="5" fillId="16" borderId="54" xfId="18" applyFont="1" applyFill="1" applyBorder="1"/>
    <xf numFmtId="168" fontId="0" fillId="16" borderId="54" xfId="18" applyNumberFormat="1" applyFont="1" applyFill="1" applyBorder="1"/>
    <xf numFmtId="43" fontId="0" fillId="16" borderId="54" xfId="1" applyFont="1" applyFill="1" applyBorder="1"/>
    <xf numFmtId="43" fontId="0" fillId="16" borderId="45" xfId="18" applyFont="1" applyFill="1" applyBorder="1"/>
    <xf numFmtId="167" fontId="30" fillId="0" borderId="54" xfId="4" applyNumberFormat="1" applyFont="1" applyBorder="1"/>
    <xf numFmtId="0" fontId="30" fillId="0" borderId="54" xfId="4" applyFont="1" applyBorder="1" applyAlignment="1">
      <alignment horizontal="center"/>
    </xf>
    <xf numFmtId="43" fontId="0" fillId="0" borderId="54" xfId="18" applyFont="1" applyBorder="1"/>
    <xf numFmtId="43" fontId="24" fillId="0" borderId="54" xfId="18" applyFont="1" applyBorder="1"/>
    <xf numFmtId="43" fontId="1" fillId="0" borderId="54" xfId="18" applyFont="1" applyBorder="1"/>
    <xf numFmtId="43" fontId="5" fillId="0" borderId="54" xfId="18" applyFont="1" applyBorder="1"/>
    <xf numFmtId="168" fontId="0" fillId="0" borderId="54" xfId="18" applyNumberFormat="1" applyFont="1" applyBorder="1"/>
    <xf numFmtId="43" fontId="0" fillId="0" borderId="54" xfId="1" applyFont="1" applyBorder="1"/>
    <xf numFmtId="17" fontId="4" fillId="0" borderId="0" xfId="4" applyNumberFormat="1"/>
    <xf numFmtId="43" fontId="0" fillId="0" borderId="0" xfId="18" applyFont="1"/>
    <xf numFmtId="43" fontId="24" fillId="0" borderId="0" xfId="18" applyFont="1"/>
    <xf numFmtId="0" fontId="5" fillId="0" borderId="0" xfId="4" applyFont="1"/>
    <xf numFmtId="43" fontId="4" fillId="0" borderId="0" xfId="1" applyFont="1"/>
    <xf numFmtId="0" fontId="8" fillId="0" borderId="28" xfId="4" applyFont="1" applyBorder="1" applyAlignment="1">
      <alignment vertical="center"/>
    </xf>
    <xf numFmtId="49" fontId="10" fillId="7" borderId="54" xfId="19" applyNumberFormat="1" applyFont="1" applyFill="1" applyBorder="1" applyAlignment="1">
      <alignment horizontal="center" vertical="center" wrapText="1"/>
    </xf>
    <xf numFmtId="0" fontId="31" fillId="0" borderId="0" xfId="0" applyFont="1" applyAlignment="1">
      <alignment horizontal="center"/>
    </xf>
    <xf numFmtId="49" fontId="31" fillId="0" borderId="0" xfId="0" applyNumberFormat="1" applyFont="1"/>
    <xf numFmtId="49" fontId="31" fillId="0" borderId="0" xfId="0" applyNumberFormat="1" applyFont="1" applyAlignment="1">
      <alignment horizontal="center"/>
    </xf>
    <xf numFmtId="14" fontId="31" fillId="0" borderId="0" xfId="0" applyNumberFormat="1" applyFont="1"/>
    <xf numFmtId="0" fontId="31" fillId="0" borderId="0" xfId="0" applyFont="1"/>
    <xf numFmtId="43" fontId="31" fillId="0" borderId="0" xfId="1" applyFont="1"/>
    <xf numFmtId="43" fontId="34" fillId="0" borderId="0" xfId="1" applyFont="1"/>
    <xf numFmtId="49" fontId="31" fillId="0" borderId="0" xfId="0" applyNumberFormat="1" applyFont="1" applyAlignment="1">
      <alignment horizontal="left"/>
    </xf>
    <xf numFmtId="0" fontId="31" fillId="0" borderId="0" xfId="0" applyFont="1" applyAlignment="1">
      <alignment horizontal="right"/>
    </xf>
    <xf numFmtId="10" fontId="31" fillId="0" borderId="0" xfId="2" applyNumberFormat="1" applyFont="1" applyAlignment="1">
      <alignment horizontal="center"/>
    </xf>
    <xf numFmtId="0" fontId="31" fillId="0" borderId="0" xfId="1" applyNumberFormat="1" applyFont="1"/>
    <xf numFmtId="164" fontId="31" fillId="0" borderId="0" xfId="1" applyNumberFormat="1" applyFont="1"/>
    <xf numFmtId="0" fontId="36" fillId="0" borderId="0" xfId="0" applyFont="1"/>
    <xf numFmtId="49" fontId="35" fillId="0" borderId="0" xfId="0" applyNumberFormat="1" applyFont="1"/>
    <xf numFmtId="43" fontId="37" fillId="0" borderId="0" xfId="1" applyFont="1"/>
    <xf numFmtId="49" fontId="38" fillId="0" borderId="0" xfId="1" applyNumberFormat="1" applyFont="1" applyAlignment="1">
      <alignment horizontal="center" vertical="center" wrapText="1"/>
    </xf>
    <xf numFmtId="0" fontId="38" fillId="0" borderId="0" xfId="0" applyFont="1" applyAlignment="1">
      <alignment horizontal="center" vertical="center" wrapText="1"/>
    </xf>
    <xf numFmtId="49" fontId="38" fillId="0" borderId="0" xfId="0" applyNumberFormat="1" applyFont="1" applyAlignment="1">
      <alignment horizontal="center" vertical="center" wrapText="1"/>
    </xf>
    <xf numFmtId="14" fontId="38" fillId="0" borderId="0" xfId="0" applyNumberFormat="1" applyFont="1" applyAlignment="1">
      <alignment horizontal="center" vertical="center" wrapText="1"/>
    </xf>
    <xf numFmtId="43" fontId="38" fillId="0" borderId="0" xfId="1" applyFont="1" applyAlignment="1">
      <alignment horizontal="center" vertical="center" wrapText="1"/>
    </xf>
    <xf numFmtId="164" fontId="38" fillId="0" borderId="0" xfId="1" applyNumberFormat="1" applyFont="1" applyAlignment="1">
      <alignment horizontal="center" vertical="center" wrapText="1"/>
    </xf>
    <xf numFmtId="10" fontId="38" fillId="0" borderId="0" xfId="2" applyNumberFormat="1" applyFont="1" applyAlignment="1">
      <alignment horizontal="center" vertical="center" wrapText="1"/>
    </xf>
    <xf numFmtId="0" fontId="38" fillId="0" borderId="0" xfId="1" applyNumberFormat="1" applyFont="1" applyAlignment="1">
      <alignment horizontal="center" vertical="center" wrapText="1"/>
    </xf>
    <xf numFmtId="0" fontId="38" fillId="0" borderId="0" xfId="0" applyFont="1"/>
    <xf numFmtId="43" fontId="34" fillId="0" borderId="0" xfId="1" applyFont="1" applyAlignment="1">
      <alignment vertical="center"/>
    </xf>
    <xf numFmtId="0" fontId="34" fillId="0" borderId="0" xfId="0" applyFont="1" applyAlignment="1">
      <alignment vertical="center"/>
    </xf>
    <xf numFmtId="43" fontId="39" fillId="2" borderId="18" xfId="1" applyFont="1" applyFill="1" applyBorder="1" applyAlignment="1">
      <alignment horizontal="center" vertical="top" wrapText="1"/>
    </xf>
    <xf numFmtId="43" fontId="39" fillId="2" borderId="19" xfId="1" applyFont="1" applyFill="1" applyBorder="1" applyAlignment="1">
      <alignment horizontal="center" vertical="top" wrapText="1"/>
    </xf>
    <xf numFmtId="0" fontId="31" fillId="0" borderId="0" xfId="0" applyFont="1" applyAlignment="1">
      <alignment vertical="top"/>
    </xf>
    <xf numFmtId="49" fontId="36" fillId="0" borderId="0" xfId="0" applyNumberFormat="1" applyFont="1"/>
    <xf numFmtId="0" fontId="36" fillId="0" borderId="0" xfId="0" applyFont="1" applyAlignment="1">
      <alignment horizontal="center"/>
    </xf>
    <xf numFmtId="14" fontId="36" fillId="0" borderId="0" xfId="0" applyNumberFormat="1" applyFont="1"/>
    <xf numFmtId="43" fontId="36" fillId="0" borderId="0" xfId="1" applyFont="1"/>
    <xf numFmtId="10" fontId="36" fillId="0" borderId="0" xfId="2" applyNumberFormat="1" applyFont="1"/>
    <xf numFmtId="49" fontId="31" fillId="0" borderId="0" xfId="19" applyNumberFormat="1" applyFont="1"/>
    <xf numFmtId="0" fontId="31" fillId="0" borderId="0" xfId="19" applyFont="1" applyAlignment="1">
      <alignment horizontal="center"/>
    </xf>
    <xf numFmtId="0" fontId="31" fillId="0" borderId="0" xfId="19" applyFont="1"/>
    <xf numFmtId="14" fontId="31" fillId="0" borderId="0" xfId="19" applyNumberFormat="1" applyFont="1"/>
    <xf numFmtId="49" fontId="35" fillId="0" borderId="0" xfId="19" applyNumberFormat="1" applyFont="1" applyAlignment="1">
      <alignment vertical="center"/>
    </xf>
    <xf numFmtId="49" fontId="31" fillId="0" borderId="0" xfId="19" applyNumberFormat="1" applyFont="1" applyAlignment="1">
      <alignment horizontal="center"/>
    </xf>
    <xf numFmtId="0" fontId="31" fillId="0" borderId="0" xfId="19" applyFont="1" applyAlignment="1">
      <alignment vertical="top"/>
    </xf>
    <xf numFmtId="14" fontId="38" fillId="0" borderId="0" xfId="0" applyNumberFormat="1" applyFont="1"/>
    <xf numFmtId="0" fontId="38" fillId="0" borderId="0" xfId="0" applyFont="1" applyAlignment="1">
      <alignment horizontal="center"/>
    </xf>
    <xf numFmtId="164" fontId="35" fillId="0" borderId="0" xfId="1" applyNumberFormat="1" applyFont="1" applyAlignment="1">
      <alignment vertical="top"/>
    </xf>
    <xf numFmtId="49" fontId="38" fillId="0" borderId="0" xfId="0" applyNumberFormat="1" applyFont="1"/>
    <xf numFmtId="0" fontId="31" fillId="0" borderId="0" xfId="0" applyFont="1" applyAlignment="1">
      <alignment horizontal="center" vertical="center" wrapText="1"/>
    </xf>
    <xf numFmtId="49" fontId="31" fillId="0" borderId="0" xfId="1" applyNumberFormat="1" applyFont="1"/>
    <xf numFmtId="49" fontId="36" fillId="0" borderId="0" xfId="0" applyNumberFormat="1" applyFont="1" applyAlignment="1">
      <alignment horizontal="center"/>
    </xf>
    <xf numFmtId="164" fontId="38" fillId="0" borderId="0" xfId="1" applyNumberFormat="1" applyFont="1" applyAlignment="1">
      <alignment vertical="center" wrapText="1"/>
    </xf>
    <xf numFmtId="49" fontId="40" fillId="0" borderId="0" xfId="1" applyNumberFormat="1" applyFont="1" applyAlignment="1">
      <alignment vertical="center"/>
    </xf>
    <xf numFmtId="0" fontId="41" fillId="0" borderId="0" xfId="0" applyFont="1" applyAlignment="1">
      <alignment horizontal="right" vertical="center"/>
    </xf>
    <xf numFmtId="49" fontId="43" fillId="0" borderId="0" xfId="1" applyNumberFormat="1" applyFont="1" applyAlignment="1">
      <alignment vertical="top"/>
    </xf>
    <xf numFmtId="49" fontId="44" fillId="0" borderId="0" xfId="0" applyNumberFormat="1" applyFont="1" applyAlignment="1">
      <alignment vertical="top"/>
    </xf>
    <xf numFmtId="43" fontId="38" fillId="0" borderId="0" xfId="1" applyFont="1" applyBorder="1" applyAlignment="1">
      <alignment horizontal="center" vertical="center" wrapText="1"/>
    </xf>
    <xf numFmtId="49" fontId="33" fillId="0" borderId="0" xfId="19" applyNumberFormat="1" applyFont="1" applyAlignment="1">
      <alignment vertical="center"/>
    </xf>
    <xf numFmtId="49" fontId="31" fillId="0" borderId="0" xfId="0" applyNumberFormat="1" applyFont="1" applyAlignment="1">
      <alignment horizontal="center" vertical="center"/>
    </xf>
    <xf numFmtId="43" fontId="34" fillId="0" borderId="3" xfId="1" applyFont="1" applyBorder="1" applyAlignment="1">
      <alignment vertical="center"/>
    </xf>
    <xf numFmtId="43" fontId="34" fillId="0" borderId="4" xfId="1" applyFont="1" applyBorder="1" applyAlignment="1">
      <alignment vertical="center"/>
    </xf>
    <xf numFmtId="49" fontId="35" fillId="0" borderId="0" xfId="1" applyNumberFormat="1" applyFont="1" applyAlignment="1">
      <alignment horizontal="center" vertical="center"/>
    </xf>
    <xf numFmtId="49" fontId="39" fillId="2" borderId="71" xfId="1" applyNumberFormat="1" applyFont="1" applyFill="1" applyBorder="1" applyAlignment="1">
      <alignment horizontal="center" vertical="top" wrapText="1"/>
    </xf>
    <xf numFmtId="49" fontId="35" fillId="0" borderId="0" xfId="0" applyNumberFormat="1" applyFont="1" applyAlignment="1">
      <alignment horizontal="center"/>
    </xf>
    <xf numFmtId="0" fontId="0" fillId="0" borderId="0" xfId="0" applyAlignment="1">
      <alignment vertical="center" wrapText="1"/>
    </xf>
    <xf numFmtId="0" fontId="24" fillId="0" borderId="0" xfId="0" applyFont="1" applyAlignment="1">
      <alignment vertical="center" wrapText="1"/>
    </xf>
    <xf numFmtId="49" fontId="0" fillId="0" borderId="0" xfId="0" applyNumberFormat="1" applyAlignment="1">
      <alignment vertical="center"/>
    </xf>
    <xf numFmtId="49" fontId="0" fillId="0" borderId="0" xfId="0" applyNumberFormat="1" applyAlignment="1">
      <alignment horizontal="center" vertical="center"/>
    </xf>
    <xf numFmtId="49" fontId="46" fillId="17" borderId="87" xfId="0" applyNumberFormat="1" applyFont="1" applyFill="1" applyBorder="1" applyAlignment="1">
      <alignment horizontal="centerContinuous" vertical="center"/>
    </xf>
    <xf numFmtId="49" fontId="46" fillId="17" borderId="88" xfId="0" applyNumberFormat="1" applyFont="1" applyFill="1" applyBorder="1" applyAlignment="1">
      <alignment horizontal="centerContinuous" vertical="center"/>
    </xf>
    <xf numFmtId="0" fontId="46" fillId="17" borderId="88" xfId="0" applyFont="1" applyFill="1" applyBorder="1" applyAlignment="1">
      <alignment horizontal="centerContinuous" vertical="center"/>
    </xf>
    <xf numFmtId="0" fontId="46" fillId="17" borderId="89" xfId="0" applyFont="1" applyFill="1" applyBorder="1" applyAlignment="1">
      <alignment horizontal="centerContinuous" vertical="center"/>
    </xf>
    <xf numFmtId="49" fontId="0" fillId="0" borderId="86" xfId="0" applyNumberFormat="1" applyBorder="1" applyAlignment="1">
      <alignment horizontal="center" vertical="center"/>
    </xf>
    <xf numFmtId="0" fontId="0" fillId="0" borderId="86" xfId="0" applyBorder="1" applyAlignment="1">
      <alignment vertical="center" wrapText="1"/>
    </xf>
    <xf numFmtId="0" fontId="24" fillId="0" borderId="0" xfId="0" applyFont="1" applyAlignment="1">
      <alignment vertical="center"/>
    </xf>
    <xf numFmtId="0" fontId="24" fillId="0" borderId="0" xfId="0" applyFont="1" applyAlignment="1">
      <alignment horizontal="centerContinuous" vertical="center"/>
    </xf>
    <xf numFmtId="49" fontId="0" fillId="0" borderId="0" xfId="0" applyNumberFormat="1" applyAlignment="1">
      <alignment horizontal="centerContinuous" vertical="center"/>
    </xf>
    <xf numFmtId="0" fontId="0" fillId="0" borderId="0" xfId="0" applyAlignment="1">
      <alignment horizontal="centerContinuous" vertical="center"/>
    </xf>
    <xf numFmtId="49" fontId="24" fillId="0" borderId="87" xfId="0" applyNumberFormat="1" applyFont="1" applyBorder="1" applyAlignment="1">
      <alignment vertical="center"/>
    </xf>
    <xf numFmtId="49" fontId="24" fillId="0" borderId="88" xfId="0" applyNumberFormat="1" applyFont="1" applyBorder="1" applyAlignment="1">
      <alignment horizontal="center" vertical="center"/>
    </xf>
    <xf numFmtId="0" fontId="24" fillId="0" borderId="88" xfId="0" applyFont="1" applyBorder="1" applyAlignment="1">
      <alignment vertical="center"/>
    </xf>
    <xf numFmtId="49" fontId="24" fillId="0" borderId="89" xfId="0" applyNumberFormat="1" applyFont="1" applyBorder="1" applyAlignment="1">
      <alignment horizontal="right" vertical="center"/>
    </xf>
    <xf numFmtId="49" fontId="24" fillId="12" borderId="86" xfId="0" applyNumberFormat="1" applyFont="1" applyFill="1" applyBorder="1" applyAlignment="1">
      <alignment horizontal="center" vertical="top" wrapText="1"/>
    </xf>
    <xf numFmtId="0" fontId="24" fillId="12" borderId="86" xfId="0" applyFont="1" applyFill="1" applyBorder="1" applyAlignment="1">
      <alignment horizontal="center" vertical="top" wrapText="1"/>
    </xf>
    <xf numFmtId="0" fontId="24" fillId="0" borderId="0" xfId="0" applyFont="1" applyAlignment="1">
      <alignment vertical="top" wrapText="1"/>
    </xf>
    <xf numFmtId="49" fontId="0" fillId="0" borderId="86" xfId="0" applyNumberFormat="1" applyBorder="1" applyAlignment="1">
      <alignment horizontal="centerContinuous" vertical="top" wrapText="1"/>
    </xf>
    <xf numFmtId="0" fontId="0" fillId="0" borderId="86" xfId="0" applyBorder="1" applyAlignment="1">
      <alignment horizontal="centerContinuous" vertical="top" wrapText="1"/>
    </xf>
    <xf numFmtId="43" fontId="0" fillId="0" borderId="86" xfId="1" applyFont="1" applyBorder="1" applyAlignment="1">
      <alignment horizontal="centerContinuous" vertical="top" wrapText="1"/>
    </xf>
    <xf numFmtId="43" fontId="0" fillId="0" borderId="87" xfId="1" applyFont="1" applyBorder="1" applyAlignment="1">
      <alignment vertical="center"/>
    </xf>
    <xf numFmtId="43" fontId="0" fillId="0" borderId="89" xfId="1" applyFont="1" applyBorder="1" applyAlignment="1">
      <alignment vertical="center"/>
    </xf>
    <xf numFmtId="43" fontId="24" fillId="0" borderId="88" xfId="1" applyFont="1" applyBorder="1" applyAlignment="1">
      <alignment vertical="center"/>
    </xf>
    <xf numFmtId="43" fontId="24" fillId="0" borderId="89" xfId="1" applyFont="1" applyBorder="1" applyAlignment="1">
      <alignment vertical="center"/>
    </xf>
    <xf numFmtId="43" fontId="0" fillId="0" borderId="87" xfId="1" applyFont="1" applyBorder="1" applyAlignment="1">
      <alignment horizontal="centerContinuous" vertical="top" wrapText="1"/>
    </xf>
    <xf numFmtId="0" fontId="24" fillId="0" borderId="0" xfId="0" applyFont="1" applyAlignment="1">
      <alignment horizontal="center" vertical="top" wrapText="1"/>
    </xf>
    <xf numFmtId="49" fontId="24" fillId="0" borderId="0" xfId="0" applyNumberFormat="1" applyFont="1" applyAlignment="1">
      <alignment vertical="center"/>
    </xf>
    <xf numFmtId="49" fontId="24" fillId="0" borderId="0" xfId="0" applyNumberFormat="1" applyFont="1" applyAlignment="1">
      <alignment horizontal="center" vertical="center"/>
    </xf>
    <xf numFmtId="49" fontId="24" fillId="0" borderId="88" xfId="0" applyNumberFormat="1" applyFont="1" applyBorder="1" applyAlignment="1">
      <alignment horizontal="right" vertical="center"/>
    </xf>
    <xf numFmtId="49" fontId="24" fillId="12" borderId="89" xfId="0" applyNumberFormat="1" applyFont="1" applyFill="1" applyBorder="1" applyAlignment="1">
      <alignment horizontal="center" vertical="top" wrapText="1"/>
    </xf>
    <xf numFmtId="49" fontId="24" fillId="0" borderId="86" xfId="0" applyNumberFormat="1" applyFont="1" applyBorder="1" applyAlignment="1">
      <alignment horizontal="center" vertical="center"/>
    </xf>
    <xf numFmtId="49" fontId="0" fillId="0" borderId="86" xfId="1" applyNumberFormat="1" applyFont="1" applyBorder="1" applyAlignment="1">
      <alignment horizontal="center" vertical="center"/>
    </xf>
    <xf numFmtId="4" fontId="0" fillId="0" borderId="88" xfId="1" applyNumberFormat="1" applyFont="1" applyBorder="1" applyAlignment="1">
      <alignment vertical="center"/>
    </xf>
    <xf numFmtId="4" fontId="24" fillId="0" borderId="88" xfId="1" applyNumberFormat="1" applyFont="1" applyBorder="1" applyAlignment="1">
      <alignment vertical="center"/>
    </xf>
    <xf numFmtId="4" fontId="0" fillId="0" borderId="86" xfId="1" applyNumberFormat="1" applyFont="1" applyBorder="1" applyAlignment="1">
      <alignment vertical="center"/>
    </xf>
    <xf numFmtId="4" fontId="24" fillId="0" borderId="86" xfId="1" applyNumberFormat="1" applyFont="1" applyBorder="1" applyAlignment="1">
      <alignment vertical="center"/>
    </xf>
    <xf numFmtId="0" fontId="0" fillId="0" borderId="86" xfId="0" applyBorder="1" applyAlignment="1">
      <alignment horizontal="center" vertical="center"/>
    </xf>
    <xf numFmtId="0" fontId="0" fillId="0" borderId="86" xfId="1" applyNumberFormat="1" applyFont="1" applyBorder="1" applyAlignment="1">
      <alignment horizontal="center" vertical="center"/>
    </xf>
    <xf numFmtId="0" fontId="24" fillId="0" borderId="0" xfId="0" applyFont="1" applyAlignment="1">
      <alignment horizontal="center" vertical="center"/>
    </xf>
    <xf numFmtId="49" fontId="0" fillId="0" borderId="0" xfId="0" applyNumberFormat="1" applyAlignment="1">
      <alignment horizontal="centerContinuous" vertical="center" wrapText="1"/>
    </xf>
    <xf numFmtId="0" fontId="0" fillId="0" borderId="0" xfId="0" applyAlignment="1">
      <alignment horizontal="centerContinuous" vertical="center" wrapText="1"/>
    </xf>
    <xf numFmtId="49" fontId="24" fillId="0" borderId="0" xfId="0" applyNumberFormat="1" applyFont="1" applyAlignment="1">
      <alignment horizontal="centerContinuous" vertical="center" wrapText="1"/>
    </xf>
    <xf numFmtId="49" fontId="43" fillId="0" borderId="0" xfId="19" applyNumberFormat="1" applyFont="1" applyAlignment="1">
      <alignment vertical="center"/>
    </xf>
    <xf numFmtId="1" fontId="31" fillId="0" borderId="0" xfId="0" applyNumberFormat="1" applyFont="1" applyAlignment="1">
      <alignment horizontal="center"/>
    </xf>
    <xf numFmtId="1" fontId="38" fillId="0" borderId="0" xfId="0" applyNumberFormat="1" applyFont="1" applyAlignment="1">
      <alignment horizontal="center" vertical="center" wrapText="1"/>
    </xf>
    <xf numFmtId="1" fontId="36" fillId="0" borderId="0" xfId="0" applyNumberFormat="1" applyFont="1" applyAlignment="1">
      <alignment horizontal="center"/>
    </xf>
    <xf numFmtId="1" fontId="31" fillId="0" borderId="0" xfId="1" applyNumberFormat="1" applyFont="1" applyAlignment="1">
      <alignment horizontal="center"/>
    </xf>
    <xf numFmtId="1" fontId="38" fillId="0" borderId="0" xfId="1" applyNumberFormat="1" applyFont="1" applyAlignment="1">
      <alignment horizontal="center" vertical="center" wrapText="1"/>
    </xf>
    <xf numFmtId="0" fontId="36" fillId="0" borderId="54" xfId="0" applyFont="1" applyBorder="1"/>
    <xf numFmtId="0" fontId="50" fillId="0" borderId="0" xfId="4" applyFont="1"/>
    <xf numFmtId="0" fontId="50" fillId="0" borderId="0" xfId="4" applyFont="1" applyAlignment="1">
      <alignment horizontal="center" vertical="top" wrapText="1"/>
    </xf>
    <xf numFmtId="43" fontId="5" fillId="0" borderId="0" xfId="4" applyNumberFormat="1" applyFont="1"/>
    <xf numFmtId="43" fontId="4" fillId="0" borderId="0" xfId="4" applyNumberFormat="1"/>
    <xf numFmtId="9" fontId="4" fillId="0" borderId="0" xfId="4" applyNumberFormat="1" applyAlignment="1">
      <alignment horizontal="center"/>
    </xf>
    <xf numFmtId="43" fontId="4" fillId="0" borderId="93" xfId="1" applyFont="1" applyBorder="1"/>
    <xf numFmtId="43" fontId="4" fillId="0" borderId="0" xfId="1" applyFont="1" applyBorder="1"/>
    <xf numFmtId="0" fontId="5" fillId="0" borderId="0" xfId="4" applyFont="1" applyAlignment="1">
      <alignment horizontal="right"/>
    </xf>
    <xf numFmtId="43" fontId="47" fillId="0" borderId="54" xfId="1" applyFont="1" applyBorder="1" applyAlignment="1">
      <alignment vertical="center"/>
    </xf>
    <xf numFmtId="14" fontId="48" fillId="0" borderId="54" xfId="19" applyNumberFormat="1" applyFont="1" applyBorder="1" applyAlignment="1">
      <alignment horizontal="center" vertical="center"/>
    </xf>
    <xf numFmtId="43" fontId="14" fillId="0" borderId="54" xfId="1" applyFont="1" applyBorder="1" applyAlignment="1">
      <alignment vertical="center"/>
    </xf>
    <xf numFmtId="43" fontId="17" fillId="0" borderId="54" xfId="4" applyNumberFormat="1" applyFont="1" applyBorder="1" applyAlignment="1">
      <alignment vertical="center"/>
    </xf>
    <xf numFmtId="43" fontId="5" fillId="0" borderId="24" xfId="4" applyNumberFormat="1" applyFont="1" applyBorder="1"/>
    <xf numFmtId="0" fontId="17" fillId="0" borderId="51" xfId="4" applyFont="1" applyBorder="1" applyAlignment="1">
      <alignment horizontal="center" vertical="center"/>
    </xf>
    <xf numFmtId="0" fontId="17" fillId="0" borderId="54" xfId="4" applyFont="1" applyBorder="1" applyAlignment="1">
      <alignment horizontal="center" vertical="center"/>
    </xf>
    <xf numFmtId="43" fontId="4" fillId="18" borderId="0" xfId="1" applyFont="1" applyFill="1"/>
    <xf numFmtId="43" fontId="4" fillId="18" borderId="0" xfId="4" applyNumberFormat="1" applyFill="1"/>
    <xf numFmtId="43" fontId="4" fillId="18" borderId="93" xfId="1" applyFont="1" applyFill="1" applyBorder="1"/>
    <xf numFmtId="43" fontId="49" fillId="18" borderId="0" xfId="1" applyFont="1" applyFill="1" applyBorder="1"/>
    <xf numFmtId="43" fontId="4" fillId="18" borderId="0" xfId="1" applyFont="1" applyFill="1" applyBorder="1"/>
    <xf numFmtId="0" fontId="4" fillId="18" borderId="0" xfId="4" applyFill="1"/>
    <xf numFmtId="43" fontId="49" fillId="0" borderId="0" xfId="1" applyFont="1" applyFill="1" applyBorder="1"/>
    <xf numFmtId="0" fontId="5" fillId="19" borderId="0" xfId="4" quotePrefix="1" applyFont="1" applyFill="1" applyAlignment="1">
      <alignment horizontal="left" vertical="center"/>
    </xf>
    <xf numFmtId="0" fontId="17" fillId="19" borderId="0" xfId="4" applyFont="1" applyFill="1" applyAlignment="1">
      <alignment horizontal="center" vertical="center"/>
    </xf>
    <xf numFmtId="0" fontId="14" fillId="19" borderId="0" xfId="4" applyFont="1" applyFill="1" applyAlignment="1">
      <alignment vertical="center"/>
    </xf>
    <xf numFmtId="0" fontId="49" fillId="0" borderId="0" xfId="4" applyFont="1"/>
    <xf numFmtId="0" fontId="29" fillId="6" borderId="74" xfId="4" applyFont="1" applyFill="1" applyBorder="1" applyAlignment="1">
      <alignment horizontal="center" vertical="top" wrapText="1"/>
    </xf>
    <xf numFmtId="43" fontId="11" fillId="0" borderId="0" xfId="1" applyFont="1" applyAlignment="1">
      <alignment vertical="center"/>
    </xf>
    <xf numFmtId="9" fontId="5" fillId="0" borderId="0" xfId="4" applyNumberFormat="1" applyFont="1" applyAlignment="1">
      <alignment horizontal="center"/>
    </xf>
    <xf numFmtId="0" fontId="51" fillId="0" borderId="49" xfId="4" applyFont="1" applyBorder="1"/>
    <xf numFmtId="49" fontId="31" fillId="0" borderId="0" xfId="0" applyNumberFormat="1" applyFont="1" applyAlignment="1">
      <alignment vertical="center"/>
    </xf>
    <xf numFmtId="0" fontId="45" fillId="7" borderId="0" xfId="4" applyFont="1" applyFill="1"/>
    <xf numFmtId="0" fontId="54" fillId="0" borderId="0" xfId="0" applyFont="1" applyAlignment="1">
      <alignment vertical="center"/>
    </xf>
    <xf numFmtId="0" fontId="54" fillId="0" borderId="0" xfId="0" applyFont="1" applyAlignment="1">
      <alignment horizontal="center" vertical="center"/>
    </xf>
    <xf numFmtId="1" fontId="31" fillId="0" borderId="0" xfId="0" applyNumberFormat="1" applyFont="1"/>
    <xf numFmtId="1" fontId="36" fillId="0" borderId="0" xfId="0" applyNumberFormat="1" applyFont="1"/>
    <xf numFmtId="14" fontId="39" fillId="2" borderId="71" xfId="1" applyNumberFormat="1" applyFont="1" applyFill="1" applyBorder="1" applyAlignment="1">
      <alignment horizontal="center" vertical="top" wrapText="1"/>
    </xf>
    <xf numFmtId="49" fontId="52" fillId="7" borderId="0" xfId="4" applyNumberFormat="1" applyFont="1" applyFill="1" applyAlignment="1">
      <alignment horizontal="left" vertical="center"/>
    </xf>
    <xf numFmtId="14" fontId="52" fillId="7" borderId="0" xfId="4" applyNumberFormat="1" applyFont="1" applyFill="1" applyAlignment="1">
      <alignment horizontal="left" vertical="center"/>
    </xf>
    <xf numFmtId="49" fontId="52" fillId="7" borderId="0" xfId="4" applyNumberFormat="1" applyFont="1" applyFill="1" applyAlignment="1">
      <alignment vertical="center"/>
    </xf>
    <xf numFmtId="49" fontId="52" fillId="7" borderId="0" xfId="4" applyNumberFormat="1" applyFont="1" applyFill="1" applyAlignment="1">
      <alignment horizontal="center" vertical="center"/>
    </xf>
    <xf numFmtId="164" fontId="52" fillId="7" borderId="0" xfId="20" applyFont="1" applyFill="1" applyAlignment="1">
      <alignment vertical="center"/>
    </xf>
    <xf numFmtId="0" fontId="52" fillId="7" borderId="0" xfId="4" applyFont="1" applyFill="1" applyAlignment="1">
      <alignment vertical="center"/>
    </xf>
    <xf numFmtId="49" fontId="36" fillId="0" borderId="0" xfId="0" applyNumberFormat="1" applyFont="1" applyAlignment="1">
      <alignment vertical="center"/>
    </xf>
    <xf numFmtId="49" fontId="36" fillId="0" borderId="0" xfId="0" applyNumberFormat="1" applyFont="1" applyAlignment="1">
      <alignment horizontal="center" vertical="center"/>
    </xf>
    <xf numFmtId="14" fontId="36" fillId="0" borderId="0" xfId="0" applyNumberFormat="1" applyFont="1" applyAlignment="1">
      <alignment vertical="center"/>
    </xf>
    <xf numFmtId="43" fontId="36" fillId="0" borderId="0" xfId="1" applyFont="1" applyAlignment="1">
      <alignment horizontal="center" vertical="center"/>
    </xf>
    <xf numFmtId="49" fontId="36" fillId="0" borderId="0" xfId="1" applyNumberFormat="1" applyFont="1" applyAlignment="1">
      <alignment horizontal="center" vertical="center"/>
    </xf>
    <xf numFmtId="0" fontId="6" fillId="0" borderId="0" xfId="0" applyFont="1" applyAlignment="1">
      <alignment vertical="center"/>
    </xf>
    <xf numFmtId="49" fontId="36" fillId="0" borderId="0" xfId="1" applyNumberFormat="1" applyFont="1" applyAlignment="1">
      <alignment vertical="center"/>
    </xf>
    <xf numFmtId="49" fontId="39" fillId="2" borderId="18" xfId="1" applyNumberFormat="1" applyFont="1" applyFill="1" applyBorder="1" applyAlignment="1">
      <alignment horizontal="center" vertical="top"/>
    </xf>
    <xf numFmtId="0" fontId="0" fillId="0" borderId="0" xfId="0" applyAlignment="1">
      <alignment horizontal="center" vertical="top"/>
    </xf>
    <xf numFmtId="43" fontId="52" fillId="7" borderId="0" xfId="1" applyFont="1" applyFill="1" applyAlignment="1">
      <alignment vertical="center"/>
    </xf>
    <xf numFmtId="43" fontId="52" fillId="7" borderId="0" xfId="1" applyFont="1" applyFill="1" applyAlignment="1">
      <alignment horizontal="center" vertical="center"/>
    </xf>
    <xf numFmtId="49" fontId="52" fillId="7" borderId="0" xfId="20" applyNumberFormat="1" applyFont="1" applyFill="1" applyAlignment="1">
      <alignment vertical="center"/>
    </xf>
    <xf numFmtId="49" fontId="45" fillId="7" borderId="0" xfId="4" applyNumberFormat="1" applyFont="1" applyFill="1" applyAlignment="1">
      <alignment vertical="center"/>
    </xf>
    <xf numFmtId="0" fontId="34" fillId="7" borderId="0" xfId="4" applyFont="1" applyFill="1"/>
    <xf numFmtId="0" fontId="31" fillId="7" borderId="0" xfId="4" applyFont="1" applyFill="1" applyAlignment="1">
      <alignment horizontal="left"/>
    </xf>
    <xf numFmtId="49" fontId="31" fillId="7" borderId="0" xfId="4" applyNumberFormat="1" applyFont="1" applyFill="1" applyAlignment="1">
      <alignment horizontal="left"/>
    </xf>
    <xf numFmtId="4" fontId="31" fillId="7" borderId="0" xfId="4" applyNumberFormat="1" applyFont="1" applyFill="1"/>
    <xf numFmtId="49" fontId="31" fillId="7" borderId="0" xfId="4" applyNumberFormat="1" applyFont="1" applyFill="1" applyAlignment="1">
      <alignment horizontal="center"/>
    </xf>
    <xf numFmtId="43" fontId="31" fillId="7" borderId="0" xfId="1" applyFont="1" applyFill="1" applyAlignment="1"/>
    <xf numFmtId="49" fontId="31" fillId="7" borderId="0" xfId="4" applyNumberFormat="1" applyFont="1" applyFill="1"/>
    <xf numFmtId="164" fontId="31" fillId="7" borderId="0" xfId="20" applyFont="1" applyFill="1"/>
    <xf numFmtId="15" fontId="31" fillId="7" borderId="0" xfId="4" applyNumberFormat="1" applyFont="1" applyFill="1"/>
    <xf numFmtId="0" fontId="31" fillId="7" borderId="0" xfId="4" applyFont="1" applyFill="1"/>
    <xf numFmtId="0" fontId="31" fillId="0" borderId="54" xfId="4" applyFont="1" applyBorder="1"/>
    <xf numFmtId="49" fontId="31" fillId="0" borderId="54" xfId="4" applyNumberFormat="1" applyFont="1" applyBorder="1"/>
    <xf numFmtId="49" fontId="31" fillId="0" borderId="54" xfId="4" applyNumberFormat="1" applyFont="1" applyBorder="1" applyAlignment="1">
      <alignment horizontal="center"/>
    </xf>
    <xf numFmtId="0" fontId="31" fillId="0" borderId="0" xfId="4" applyFont="1"/>
    <xf numFmtId="0" fontId="31" fillId="0" borderId="0" xfId="4" applyFont="1" applyAlignment="1">
      <alignment horizontal="center"/>
    </xf>
    <xf numFmtId="49" fontId="34" fillId="0" borderId="0" xfId="4" applyNumberFormat="1" applyFont="1" applyAlignment="1">
      <alignment horizontal="left"/>
    </xf>
    <xf numFmtId="49" fontId="31" fillId="0" borderId="0" xfId="4" applyNumberFormat="1" applyFont="1"/>
    <xf numFmtId="4" fontId="31" fillId="0" borderId="0" xfId="20" applyNumberFormat="1" applyFont="1" applyFill="1" applyProtection="1"/>
    <xf numFmtId="49" fontId="31" fillId="0" borderId="0" xfId="20" applyNumberFormat="1" applyFont="1" applyFill="1" applyAlignment="1" applyProtection="1">
      <alignment horizontal="center"/>
    </xf>
    <xf numFmtId="43" fontId="31" fillId="0" borderId="0" xfId="1" applyFont="1" applyAlignment="1"/>
    <xf numFmtId="49" fontId="31" fillId="0" borderId="0" xfId="4" applyNumberFormat="1" applyFont="1" applyAlignment="1">
      <alignment horizontal="center"/>
    </xf>
    <xf numFmtId="0" fontId="45" fillId="7" borderId="0" xfId="4" applyFont="1" applyFill="1" applyAlignment="1">
      <alignment vertical="center"/>
    </xf>
    <xf numFmtId="0" fontId="31" fillId="0" borderId="0" xfId="4" applyFont="1" applyAlignment="1">
      <alignment horizontal="left"/>
    </xf>
    <xf numFmtId="49" fontId="56" fillId="7" borderId="0" xfId="4" applyNumberFormat="1" applyFont="1" applyFill="1" applyAlignment="1">
      <alignment horizontal="left"/>
    </xf>
    <xf numFmtId="4" fontId="56" fillId="7" borderId="0" xfId="4" applyNumberFormat="1" applyFont="1" applyFill="1"/>
    <xf numFmtId="49" fontId="56" fillId="7" borderId="0" xfId="4" applyNumberFormat="1" applyFont="1" applyFill="1"/>
    <xf numFmtId="49" fontId="56" fillId="7" borderId="0" xfId="4" applyNumberFormat="1" applyFont="1" applyFill="1" applyAlignment="1">
      <alignment horizontal="center"/>
    </xf>
    <xf numFmtId="0" fontId="56" fillId="7" borderId="0" xfId="4" applyFont="1" applyFill="1"/>
    <xf numFmtId="0" fontId="39" fillId="2" borderId="19" xfId="4" applyFont="1" applyFill="1" applyBorder="1" applyAlignment="1">
      <alignment horizontal="center" vertical="top" wrapText="1"/>
    </xf>
    <xf numFmtId="0" fontId="34" fillId="0" borderId="0" xfId="4" applyFont="1" applyAlignment="1">
      <alignment horizontal="center" vertical="top" wrapText="1"/>
    </xf>
    <xf numFmtId="49" fontId="39" fillId="2" borderId="19" xfId="4" applyNumberFormat="1" applyFont="1" applyFill="1" applyBorder="1" applyAlignment="1">
      <alignment horizontal="center" vertical="top" wrapText="1"/>
    </xf>
    <xf numFmtId="4" fontId="39" fillId="2" borderId="19" xfId="4" applyNumberFormat="1" applyFont="1" applyFill="1" applyBorder="1" applyAlignment="1">
      <alignment horizontal="center" vertical="top" wrapText="1"/>
    </xf>
    <xf numFmtId="2" fontId="39" fillId="2" borderId="19" xfId="1" applyNumberFormat="1" applyFont="1" applyFill="1" applyBorder="1" applyAlignment="1">
      <alignment horizontal="center" vertical="top" wrapText="1"/>
    </xf>
    <xf numFmtId="0" fontId="2" fillId="2" borderId="95" xfId="0" applyFont="1" applyFill="1" applyBorder="1" applyAlignment="1">
      <alignment horizontal="centerContinuous" vertical="center"/>
    </xf>
    <xf numFmtId="0" fontId="2" fillId="2" borderId="96" xfId="0" applyFont="1" applyFill="1" applyBorder="1" applyAlignment="1">
      <alignment horizontal="centerContinuous" vertical="center"/>
    </xf>
    <xf numFmtId="0" fontId="2" fillId="2" borderId="97" xfId="0" applyFont="1" applyFill="1" applyBorder="1" applyAlignment="1">
      <alignment horizontal="centerContinuous" vertical="center"/>
    </xf>
    <xf numFmtId="0" fontId="2" fillId="2" borderId="96" xfId="0" applyFont="1" applyFill="1" applyBorder="1" applyAlignment="1">
      <alignment horizontal="center" vertical="center"/>
    </xf>
    <xf numFmtId="0" fontId="31" fillId="0" borderId="54" xfId="4" applyFont="1" applyBorder="1" applyAlignment="1">
      <alignment horizontal="center"/>
    </xf>
    <xf numFmtId="14" fontId="34" fillId="7" borderId="0" xfId="4" applyNumberFormat="1" applyFont="1" applyFill="1"/>
    <xf numFmtId="14" fontId="34" fillId="0" borderId="0" xfId="4" applyNumberFormat="1" applyFont="1" applyAlignment="1">
      <alignment horizontal="left"/>
    </xf>
    <xf numFmtId="0" fontId="4" fillId="4" borderId="0" xfId="1" applyNumberFormat="1" applyFont="1" applyFill="1" applyBorder="1" applyAlignment="1">
      <alignment horizontal="center" vertical="center"/>
    </xf>
    <xf numFmtId="0" fontId="38" fillId="0" borderId="0" xfId="0" applyFont="1" applyAlignment="1">
      <alignment horizontal="right" vertical="center" wrapText="1"/>
    </xf>
    <xf numFmtId="0" fontId="36" fillId="0" borderId="0" xfId="0" applyFont="1" applyAlignment="1">
      <alignment horizontal="right"/>
    </xf>
    <xf numFmtId="0" fontId="34" fillId="0" borderId="0" xfId="0" applyFont="1" applyAlignment="1">
      <alignment horizontal="center" vertical="center"/>
    </xf>
    <xf numFmtId="0" fontId="31" fillId="0" borderId="0" xfId="0" applyFont="1" applyAlignment="1">
      <alignment horizontal="center" vertical="top"/>
    </xf>
    <xf numFmtId="0" fontId="36" fillId="0" borderId="0" xfId="0" applyFont="1" applyAlignment="1">
      <alignment horizontal="center" vertical="top"/>
    </xf>
    <xf numFmtId="43" fontId="42" fillId="0" borderId="0" xfId="1" applyFont="1" applyBorder="1" applyAlignment="1">
      <alignment horizontal="centerContinuous" vertical="center"/>
    </xf>
    <xf numFmtId="0" fontId="36" fillId="0" borderId="98" xfId="0" applyFont="1" applyBorder="1" applyAlignment="1">
      <alignment horizontal="center" vertical="center"/>
    </xf>
    <xf numFmtId="0" fontId="38" fillId="0" borderId="98" xfId="0" applyFont="1" applyBorder="1" applyAlignment="1">
      <alignment horizontal="center" vertical="center" wrapText="1"/>
    </xf>
    <xf numFmtId="164" fontId="31" fillId="0" borderId="0" xfId="1" applyNumberFormat="1" applyFont="1" applyBorder="1"/>
    <xf numFmtId="164" fontId="38" fillId="0" borderId="0" xfId="1" applyNumberFormat="1" applyFont="1" applyBorder="1" applyAlignment="1">
      <alignment horizontal="center" vertical="center" wrapText="1"/>
    </xf>
    <xf numFmtId="0" fontId="34" fillId="0" borderId="98" xfId="0" applyFont="1" applyBorder="1" applyAlignment="1">
      <alignment vertical="center"/>
    </xf>
    <xf numFmtId="0" fontId="31" fillId="0" borderId="98" xfId="0" applyFont="1" applyBorder="1" applyAlignment="1">
      <alignment vertical="top"/>
    </xf>
    <xf numFmtId="43" fontId="39" fillId="2" borderId="48" xfId="1" applyFont="1" applyFill="1" applyBorder="1" applyAlignment="1">
      <alignment horizontal="center" vertical="top" wrapText="1"/>
    </xf>
    <xf numFmtId="49" fontId="36" fillId="0" borderId="0" xfId="1" applyNumberFormat="1" applyFont="1"/>
    <xf numFmtId="0" fontId="4" fillId="0" borderId="13" xfId="4" quotePrefix="1" applyBorder="1"/>
    <xf numFmtId="0" fontId="5" fillId="0" borderId="0" xfId="4" applyFont="1" applyAlignment="1">
      <alignment horizontal="center" vertical="center"/>
    </xf>
    <xf numFmtId="0" fontId="4" fillId="0" borderId="4" xfId="4" applyBorder="1"/>
    <xf numFmtId="17" fontId="4" fillId="0" borderId="4" xfId="4" applyNumberFormat="1" applyBorder="1"/>
    <xf numFmtId="0" fontId="4" fillId="0" borderId="4" xfId="19" applyBorder="1"/>
    <xf numFmtId="43" fontId="0" fillId="0" borderId="4" xfId="18" applyFont="1" applyBorder="1"/>
    <xf numFmtId="0" fontId="0" fillId="0" borderId="4" xfId="0" applyBorder="1"/>
    <xf numFmtId="0" fontId="50" fillId="0" borderId="0" xfId="4" applyFont="1" applyAlignment="1">
      <alignment horizontal="center" vertical="center" wrapText="1"/>
    </xf>
    <xf numFmtId="43" fontId="5" fillId="0" borderId="104" xfId="4" applyNumberFormat="1" applyFont="1" applyBorder="1"/>
    <xf numFmtId="0" fontId="5" fillId="0" borderId="0" xfId="4" applyFont="1" applyAlignment="1">
      <alignment vertical="top"/>
    </xf>
    <xf numFmtId="43" fontId="5" fillId="0" borderId="0" xfId="1" applyFont="1"/>
    <xf numFmtId="0" fontId="5" fillId="0" borderId="4" xfId="4" applyFont="1" applyBorder="1"/>
    <xf numFmtId="43" fontId="5" fillId="0" borderId="4" xfId="4" applyNumberFormat="1" applyFont="1" applyBorder="1"/>
    <xf numFmtId="4" fontId="60" fillId="9" borderId="45" xfId="23" applyNumberFormat="1" applyFont="1" applyFill="1" applyBorder="1" applyAlignment="1">
      <alignment horizontal="center"/>
    </xf>
    <xf numFmtId="4" fontId="60" fillId="9" borderId="44" xfId="23" applyNumberFormat="1" applyFont="1" applyFill="1" applyBorder="1"/>
    <xf numFmtId="9" fontId="60" fillId="9" borderId="45" xfId="24" applyFont="1" applyFill="1" applyBorder="1" applyAlignment="1">
      <alignment horizontal="center"/>
    </xf>
    <xf numFmtId="4" fontId="60" fillId="9" borderId="54" xfId="23" applyNumberFormat="1" applyFont="1" applyFill="1" applyBorder="1" applyAlignment="1">
      <alignment horizontal="center"/>
    </xf>
    <xf numFmtId="4" fontId="60" fillId="9" borderId="51" xfId="23" applyNumberFormat="1" applyFont="1" applyFill="1" applyBorder="1"/>
    <xf numFmtId="10" fontId="60" fillId="9" borderId="54" xfId="24" applyNumberFormat="1" applyFont="1" applyFill="1" applyBorder="1" applyAlignment="1">
      <alignment horizontal="center"/>
    </xf>
    <xf numFmtId="49" fontId="42" fillId="0" borderId="99" xfId="0" quotePrefix="1" applyNumberFormat="1" applyFont="1" applyBorder="1" applyAlignment="1">
      <alignment horizontal="left" vertical="center"/>
    </xf>
    <xf numFmtId="49" fontId="31" fillId="0" borderId="0" xfId="1" applyNumberFormat="1" applyFont="1" applyAlignment="1">
      <alignment horizontal="center"/>
    </xf>
    <xf numFmtId="0" fontId="16" fillId="0" borderId="16" xfId="4" applyFont="1" applyBorder="1"/>
    <xf numFmtId="0" fontId="16" fillId="0" borderId="57" xfId="4" applyFont="1" applyBorder="1"/>
    <xf numFmtId="0" fontId="16" fillId="0" borderId="16" xfId="4" applyFont="1" applyBorder="1" applyAlignment="1">
      <alignment vertical="center"/>
    </xf>
    <xf numFmtId="0" fontId="16" fillId="0" borderId="57" xfId="4" applyFont="1" applyBorder="1" applyAlignment="1">
      <alignment vertical="center"/>
    </xf>
    <xf numFmtId="49" fontId="16" fillId="0" borderId="16" xfId="4" applyNumberFormat="1" applyFont="1" applyBorder="1" applyAlignment="1">
      <alignment vertical="center"/>
    </xf>
    <xf numFmtId="49" fontId="16" fillId="0" borderId="57" xfId="4" applyNumberFormat="1" applyFont="1" applyBorder="1" applyAlignment="1">
      <alignment vertical="center"/>
    </xf>
    <xf numFmtId="49" fontId="14" fillId="0" borderId="16" xfId="4" applyNumberFormat="1" applyFont="1" applyBorder="1" applyAlignment="1">
      <alignment vertical="center"/>
    </xf>
    <xf numFmtId="49" fontId="14" fillId="0" borderId="57" xfId="4" applyNumberFormat="1" applyFont="1" applyBorder="1" applyAlignment="1">
      <alignment vertical="center"/>
    </xf>
    <xf numFmtId="49" fontId="8" fillId="0" borderId="15" xfId="4" applyNumberFormat="1" applyFont="1" applyBorder="1" applyAlignment="1">
      <alignment vertical="center"/>
    </xf>
    <xf numFmtId="49" fontId="8" fillId="0" borderId="16" xfId="4" applyNumberFormat="1" applyFont="1" applyBorder="1" applyAlignment="1">
      <alignment vertical="center"/>
    </xf>
    <xf numFmtId="49" fontId="8" fillId="0" borderId="57" xfId="4" applyNumberFormat="1" applyFont="1" applyBorder="1" applyAlignment="1">
      <alignment vertical="center"/>
    </xf>
    <xf numFmtId="2" fontId="8" fillId="0" borderId="57" xfId="4" applyNumberFormat="1" applyFont="1" applyBorder="1" applyAlignment="1">
      <alignment horizontal="right"/>
    </xf>
    <xf numFmtId="2" fontId="8" fillId="0" borderId="13" xfId="4" applyNumberFormat="1" applyFont="1" applyBorder="1" applyAlignment="1">
      <alignment horizontal="right"/>
    </xf>
    <xf numFmtId="49" fontId="8" fillId="0" borderId="16" xfId="4" applyNumberFormat="1" applyFont="1" applyBorder="1" applyAlignment="1">
      <alignment horizontal="left" vertical="top"/>
    </xf>
    <xf numFmtId="49" fontId="8" fillId="0" borderId="13" xfId="4" applyNumberFormat="1" applyFont="1" applyBorder="1" applyAlignment="1">
      <alignment horizontal="left" vertical="top"/>
    </xf>
    <xf numFmtId="170" fontId="31" fillId="0" borderId="0" xfId="0" applyNumberFormat="1" applyFont="1"/>
    <xf numFmtId="170" fontId="38" fillId="0" borderId="0" xfId="0" applyNumberFormat="1" applyFont="1" applyAlignment="1">
      <alignment horizontal="center" vertical="center" wrapText="1"/>
    </xf>
    <xf numFmtId="170" fontId="36" fillId="0" borderId="0" xfId="0" applyNumberFormat="1" applyFont="1"/>
    <xf numFmtId="43" fontId="5" fillId="0" borderId="54" xfId="4" applyNumberFormat="1" applyFont="1" applyBorder="1"/>
    <xf numFmtId="43" fontId="4" fillId="0" borderId="54" xfId="4" applyNumberFormat="1" applyBorder="1"/>
    <xf numFmtId="43" fontId="34" fillId="21" borderId="54" xfId="1" applyFont="1" applyFill="1" applyBorder="1" applyAlignment="1">
      <alignment horizontal="center" vertical="center"/>
    </xf>
    <xf numFmtId="43" fontId="39" fillId="2" borderId="54" xfId="1" applyFont="1" applyFill="1" applyBorder="1" applyAlignment="1">
      <alignment vertical="center" wrapText="1"/>
    </xf>
    <xf numFmtId="49" fontId="57" fillId="16" borderId="48" xfId="0" applyNumberFormat="1" applyFont="1" applyFill="1" applyBorder="1" applyAlignment="1">
      <alignment horizontal="center" vertical="top" wrapText="1"/>
    </xf>
    <xf numFmtId="43" fontId="57" fillId="16" borderId="48" xfId="1" applyFont="1" applyFill="1" applyBorder="1" applyAlignment="1">
      <alignment horizontal="center" vertical="top" wrapText="1"/>
    </xf>
    <xf numFmtId="49" fontId="34" fillId="16" borderId="48" xfId="0" applyNumberFormat="1" applyFont="1" applyFill="1" applyBorder="1" applyAlignment="1">
      <alignment horizontal="center" vertical="top" wrapText="1"/>
    </xf>
    <xf numFmtId="43" fontId="34" fillId="21" borderId="54" xfId="1" applyFont="1" applyFill="1" applyBorder="1" applyAlignment="1">
      <alignment vertical="center"/>
    </xf>
    <xf numFmtId="49" fontId="57" fillId="16" borderId="48" xfId="1" applyNumberFormat="1" applyFont="1" applyFill="1" applyBorder="1" applyAlignment="1">
      <alignment horizontal="center" vertical="top" wrapText="1"/>
    </xf>
    <xf numFmtId="164" fontId="42" fillId="0" borderId="99" xfId="1" quotePrefix="1" applyNumberFormat="1" applyFont="1" applyBorder="1" applyAlignment="1">
      <alignment horizontal="centerContinuous" vertical="center"/>
    </xf>
    <xf numFmtId="49" fontId="42" fillId="0" borderId="99" xfId="0" applyNumberFormat="1" applyFont="1" applyBorder="1" applyAlignment="1">
      <alignment horizontal="centerContinuous" vertical="center"/>
    </xf>
    <xf numFmtId="0" fontId="42" fillId="0" borderId="100" xfId="0" applyFont="1" applyBorder="1" applyAlignment="1">
      <alignment horizontal="centerContinuous" vertical="center"/>
    </xf>
    <xf numFmtId="49" fontId="42" fillId="0" borderId="0" xfId="0" applyNumberFormat="1" applyFont="1" applyAlignment="1">
      <alignment horizontal="center" vertical="center"/>
    </xf>
    <xf numFmtId="49" fontId="42" fillId="0" borderId="0" xfId="0" applyNumberFormat="1" applyFont="1" applyAlignment="1">
      <alignment vertical="center"/>
    </xf>
    <xf numFmtId="43" fontId="42" fillId="0" borderId="99" xfId="1" quotePrefix="1" applyFont="1" applyBorder="1" applyAlignment="1">
      <alignment horizontal="centerContinuous" vertical="center"/>
    </xf>
    <xf numFmtId="43" fontId="42" fillId="0" borderId="100" xfId="1" applyFont="1" applyBorder="1" applyAlignment="1">
      <alignment horizontal="centerContinuous" vertical="center"/>
    </xf>
    <xf numFmtId="49" fontId="42" fillId="0" borderId="0" xfId="0" applyNumberFormat="1" applyFont="1" applyAlignment="1">
      <alignment horizontal="centerContinuous" vertical="center"/>
    </xf>
    <xf numFmtId="164" fontId="42" fillId="0" borderId="0" xfId="1" applyNumberFormat="1" applyFont="1" applyBorder="1" applyAlignment="1">
      <alignment vertical="center"/>
    </xf>
    <xf numFmtId="49" fontId="34" fillId="0" borderId="0" xfId="0" applyNumberFormat="1" applyFont="1" applyAlignment="1">
      <alignment vertical="center"/>
    </xf>
    <xf numFmtId="1" fontId="42" fillId="0" borderId="99" xfId="0" quotePrefix="1" applyNumberFormat="1" applyFont="1" applyBorder="1" applyAlignment="1">
      <alignment horizontal="centerContinuous" vertical="center"/>
    </xf>
    <xf numFmtId="1" fontId="42" fillId="0" borderId="0" xfId="1" applyNumberFormat="1" applyFont="1" applyBorder="1" applyAlignment="1">
      <alignment horizontal="centerContinuous" vertical="center"/>
    </xf>
    <xf numFmtId="49" fontId="42" fillId="0" borderId="0" xfId="1" applyNumberFormat="1" applyFont="1" applyBorder="1" applyAlignment="1">
      <alignment horizontal="centerContinuous" vertical="center"/>
    </xf>
    <xf numFmtId="164" fontId="42" fillId="0" borderId="100" xfId="1" applyNumberFormat="1" applyFont="1" applyBorder="1" applyAlignment="1">
      <alignment horizontal="centerContinuous" vertical="center"/>
    </xf>
    <xf numFmtId="0" fontId="42" fillId="0" borderId="0" xfId="0" applyFont="1" applyAlignment="1">
      <alignment horizontal="center" vertical="center"/>
    </xf>
    <xf numFmtId="43" fontId="42" fillId="0" borderId="0" xfId="1" applyFont="1" applyAlignment="1">
      <alignment vertical="center"/>
    </xf>
    <xf numFmtId="49" fontId="34" fillId="0" borderId="0" xfId="0" applyNumberFormat="1" applyFont="1" applyAlignment="1">
      <alignment horizontal="center" vertical="center"/>
    </xf>
    <xf numFmtId="49" fontId="34" fillId="0" borderId="0" xfId="0" applyNumberFormat="1" applyFont="1" applyAlignment="1">
      <alignment horizontal="center"/>
    </xf>
    <xf numFmtId="1" fontId="34" fillId="0" borderId="0" xfId="0" applyNumberFormat="1" applyFont="1" applyAlignment="1">
      <alignment vertical="center"/>
    </xf>
    <xf numFmtId="0" fontId="42" fillId="0" borderId="0" xfId="0" applyFont="1" applyAlignment="1">
      <alignment vertical="center"/>
    </xf>
    <xf numFmtId="164" fontId="42" fillId="0" borderId="0" xfId="1" applyNumberFormat="1" applyFont="1" applyAlignment="1">
      <alignment vertical="center"/>
    </xf>
    <xf numFmtId="0" fontId="63" fillId="0" borderId="0" xfId="0" applyFont="1" applyAlignment="1">
      <alignment vertical="center"/>
    </xf>
    <xf numFmtId="49" fontId="42" fillId="0" borderId="100" xfId="0" applyNumberFormat="1" applyFont="1" applyBorder="1" applyAlignment="1">
      <alignment horizontal="centerContinuous" vertical="center"/>
    </xf>
    <xf numFmtId="49" fontId="42" fillId="0" borderId="102" xfId="0" applyNumberFormat="1" applyFont="1" applyBorder="1" applyAlignment="1">
      <alignment horizontal="center" vertical="center"/>
    </xf>
    <xf numFmtId="49" fontId="42" fillId="0" borderId="13" xfId="0" applyNumberFormat="1" applyFont="1" applyBorder="1" applyAlignment="1">
      <alignment horizontal="centerContinuous" vertical="center"/>
    </xf>
    <xf numFmtId="14" fontId="42" fillId="0" borderId="0" xfId="0" applyNumberFormat="1" applyFont="1" applyAlignment="1">
      <alignment horizontal="centerContinuous" vertical="center"/>
    </xf>
    <xf numFmtId="14" fontId="42" fillId="0" borderId="100" xfId="0" applyNumberFormat="1" applyFont="1" applyBorder="1" applyAlignment="1">
      <alignment horizontal="centerContinuous" vertical="center"/>
    </xf>
    <xf numFmtId="0" fontId="63" fillId="0" borderId="0" xfId="0" applyFont="1" applyAlignment="1">
      <alignment horizontal="centerContinuous" vertical="center"/>
    </xf>
    <xf numFmtId="49" fontId="63" fillId="0" borderId="99" xfId="0" quotePrefix="1" applyNumberFormat="1" applyFont="1" applyBorder="1" applyAlignment="1">
      <alignment horizontal="centerContinuous" vertical="center"/>
    </xf>
    <xf numFmtId="49" fontId="63" fillId="0" borderId="0" xfId="0" applyNumberFormat="1" applyFont="1" applyAlignment="1">
      <alignment horizontal="centerContinuous" vertical="center"/>
    </xf>
    <xf numFmtId="0" fontId="63" fillId="0" borderId="101" xfId="0" applyFont="1" applyBorder="1" applyAlignment="1">
      <alignment vertical="center"/>
    </xf>
    <xf numFmtId="49" fontId="42" fillId="0" borderId="99" xfId="0" quotePrefix="1" applyNumberFormat="1" applyFont="1" applyBorder="1" applyAlignment="1">
      <alignment horizontal="centerContinuous" vertical="center"/>
    </xf>
    <xf numFmtId="170" fontId="42" fillId="0" borderId="0" xfId="0" applyNumberFormat="1" applyFont="1" applyAlignment="1">
      <alignment horizontal="centerContinuous" vertical="center"/>
    </xf>
    <xf numFmtId="0" fontId="42" fillId="0" borderId="99" xfId="0" quotePrefix="1" applyFont="1" applyBorder="1" applyAlignment="1">
      <alignment horizontal="centerContinuous" vertical="center"/>
    </xf>
    <xf numFmtId="10" fontId="42" fillId="0" borderId="0" xfId="2" applyNumberFormat="1" applyFont="1" applyBorder="1" applyAlignment="1">
      <alignment horizontal="centerContinuous" vertical="center"/>
    </xf>
    <xf numFmtId="14" fontId="42" fillId="0" borderId="99" xfId="0" quotePrefix="1" applyNumberFormat="1" applyFont="1" applyBorder="1" applyAlignment="1">
      <alignment horizontal="centerContinuous" vertical="center"/>
    </xf>
    <xf numFmtId="14" fontId="42" fillId="0" borderId="0" xfId="0" quotePrefix="1" applyNumberFormat="1" applyFont="1" applyAlignment="1">
      <alignment horizontal="centerContinuous" vertical="center"/>
    </xf>
    <xf numFmtId="0" fontId="42" fillId="0" borderId="100" xfId="0" quotePrefix="1" applyFont="1" applyBorder="1" applyAlignment="1">
      <alignment horizontal="centerContinuous" vertical="center"/>
    </xf>
    <xf numFmtId="43" fontId="42" fillId="0" borderId="99" xfId="1" quotePrefix="1" applyFont="1" applyBorder="1" applyAlignment="1">
      <alignment vertical="center"/>
    </xf>
    <xf numFmtId="43" fontId="42" fillId="0" borderId="100" xfId="1" applyFont="1" applyBorder="1" applyAlignment="1">
      <alignment vertical="center"/>
    </xf>
    <xf numFmtId="43" fontId="42" fillId="0" borderId="100" xfId="1" applyFont="1" applyBorder="1" applyAlignment="1">
      <alignment horizontal="center" vertical="center"/>
    </xf>
    <xf numFmtId="0" fontId="42" fillId="0" borderId="102" xfId="0" quotePrefix="1" applyFont="1" applyBorder="1" applyAlignment="1">
      <alignment horizontal="centerContinuous" vertical="center"/>
    </xf>
    <xf numFmtId="0" fontId="42" fillId="0" borderId="13" xfId="0" applyFont="1" applyBorder="1" applyAlignment="1">
      <alignment horizontal="centerContinuous" vertical="center"/>
    </xf>
    <xf numFmtId="0" fontId="42" fillId="0" borderId="103" xfId="0" applyFont="1" applyBorder="1" applyAlignment="1">
      <alignment horizontal="centerContinuous" vertical="center"/>
    </xf>
    <xf numFmtId="0" fontId="64" fillId="0" borderId="0" xfId="0" applyFont="1" applyAlignment="1">
      <alignment horizontal="center" vertical="center" wrapText="1"/>
    </xf>
    <xf numFmtId="43" fontId="42" fillId="0" borderId="0" xfId="1" applyFont="1" applyAlignment="1">
      <alignment horizontal="center" vertical="center"/>
    </xf>
    <xf numFmtId="1" fontId="42" fillId="0" borderId="0" xfId="0" applyNumberFormat="1" applyFont="1" applyAlignment="1">
      <alignment horizontal="centerContinuous" vertical="center"/>
    </xf>
    <xf numFmtId="164" fontId="42" fillId="0" borderId="102" xfId="1" quotePrefix="1" applyNumberFormat="1" applyFont="1" applyBorder="1" applyAlignment="1">
      <alignment horizontal="center" vertical="center"/>
    </xf>
    <xf numFmtId="49" fontId="42" fillId="0" borderId="13" xfId="1" applyNumberFormat="1" applyFont="1" applyBorder="1" applyAlignment="1">
      <alignment horizontal="center" vertical="center"/>
    </xf>
    <xf numFmtId="49" fontId="42" fillId="0" borderId="103" xfId="1" applyNumberFormat="1" applyFont="1" applyBorder="1" applyAlignment="1">
      <alignment horizontal="center" vertical="center"/>
    </xf>
    <xf numFmtId="14" fontId="31" fillId="0" borderId="0" xfId="1" applyNumberFormat="1" applyFont="1"/>
    <xf numFmtId="43" fontId="39" fillId="2" borderId="45" xfId="1" applyFont="1" applyFill="1" applyBorder="1" applyAlignment="1">
      <alignment vertical="center" wrapText="1"/>
    </xf>
    <xf numFmtId="0" fontId="42" fillId="0" borderId="0" xfId="0" applyFont="1" applyAlignment="1">
      <alignment horizontal="centerContinuous" vertical="center"/>
    </xf>
    <xf numFmtId="43" fontId="34" fillId="0" borderId="0" xfId="1" applyFont="1" applyAlignment="1">
      <alignment horizontal="center" vertical="center"/>
    </xf>
    <xf numFmtId="14" fontId="34" fillId="0" borderId="0" xfId="0" applyNumberFormat="1" applyFont="1" applyAlignment="1">
      <alignment horizontal="center" vertical="center"/>
    </xf>
    <xf numFmtId="0" fontId="57" fillId="0" borderId="0" xfId="0" applyFont="1" applyAlignment="1">
      <alignment horizontal="center" vertical="center"/>
    </xf>
    <xf numFmtId="49" fontId="42" fillId="0" borderId="0" xfId="1" applyNumberFormat="1" applyFont="1" applyAlignment="1">
      <alignment horizontal="center" vertical="center"/>
    </xf>
    <xf numFmtId="49" fontId="34" fillId="0" borderId="0" xfId="1" applyNumberFormat="1" applyFont="1"/>
    <xf numFmtId="49" fontId="34" fillId="0" borderId="0" xfId="1" applyNumberFormat="1" applyFont="1" applyAlignment="1">
      <alignment horizontal="center"/>
    </xf>
    <xf numFmtId="49" fontId="34" fillId="0" borderId="0" xfId="0" applyNumberFormat="1" applyFont="1" applyAlignment="1">
      <alignment horizontal="centerContinuous" vertical="center"/>
    </xf>
    <xf numFmtId="43" fontId="34" fillId="0" borderId="0" xfId="1" applyFont="1" applyAlignment="1">
      <alignment horizontal="centerContinuous" vertical="center"/>
    </xf>
    <xf numFmtId="0" fontId="31" fillId="0" borderId="0" xfId="0" applyFont="1" applyAlignment="1">
      <alignment vertical="center"/>
    </xf>
    <xf numFmtId="49" fontId="34" fillId="7" borderId="0" xfId="4" applyNumberFormat="1" applyFont="1" applyFill="1"/>
    <xf numFmtId="49" fontId="45" fillId="7" borderId="0" xfId="4" applyNumberFormat="1" applyFont="1" applyFill="1"/>
    <xf numFmtId="49" fontId="56" fillId="7" borderId="0" xfId="1" applyNumberFormat="1" applyFont="1" applyFill="1" applyAlignment="1"/>
    <xf numFmtId="49" fontId="31" fillId="7" borderId="0" xfId="1" applyNumberFormat="1" applyFont="1" applyFill="1" applyAlignment="1"/>
    <xf numFmtId="49" fontId="0" fillId="0" borderId="54" xfId="0" applyNumberFormat="1" applyBorder="1"/>
    <xf numFmtId="0" fontId="5" fillId="16" borderId="0" xfId="1" applyNumberFormat="1" applyFont="1" applyFill="1" applyBorder="1" applyAlignment="1">
      <alignment horizontal="center" vertical="center"/>
    </xf>
    <xf numFmtId="0" fontId="5" fillId="21" borderId="7" xfId="1" applyNumberFormat="1" applyFont="1" applyFill="1" applyBorder="1" applyAlignment="1">
      <alignment horizontal="left" vertical="center"/>
    </xf>
    <xf numFmtId="49" fontId="5" fillId="21" borderId="0" xfId="17" applyNumberFormat="1" applyFont="1" applyFill="1" applyBorder="1" applyAlignment="1">
      <alignment vertical="center"/>
    </xf>
    <xf numFmtId="0" fontId="5" fillId="21" borderId="0" xfId="1" applyNumberFormat="1" applyFont="1" applyFill="1" applyBorder="1" applyAlignment="1">
      <alignment vertical="center"/>
    </xf>
    <xf numFmtId="0" fontId="5" fillId="21" borderId="0" xfId="1" applyNumberFormat="1" applyFont="1" applyFill="1" applyBorder="1" applyAlignment="1">
      <alignment horizontal="center" vertical="center"/>
    </xf>
    <xf numFmtId="0" fontId="5" fillId="21" borderId="2" xfId="1" applyNumberFormat="1" applyFont="1" applyFill="1" applyBorder="1" applyAlignment="1">
      <alignment vertical="center"/>
    </xf>
    <xf numFmtId="0" fontId="5" fillId="21" borderId="0" xfId="1" applyNumberFormat="1" applyFont="1" applyFill="1" applyBorder="1" applyAlignment="1">
      <alignment horizontal="left" vertical="center"/>
    </xf>
    <xf numFmtId="0" fontId="65" fillId="21" borderId="0" xfId="1" applyNumberFormat="1" applyFont="1" applyFill="1" applyBorder="1" applyAlignment="1">
      <alignment horizontal="center" vertical="center"/>
    </xf>
    <xf numFmtId="49" fontId="5" fillId="21" borderId="0" xfId="1" applyNumberFormat="1" applyFont="1" applyFill="1" applyBorder="1" applyAlignment="1">
      <alignment vertical="center"/>
    </xf>
    <xf numFmtId="0" fontId="5" fillId="21" borderId="4" xfId="1" applyNumberFormat="1" applyFont="1" applyFill="1" applyBorder="1" applyAlignment="1">
      <alignment vertical="center"/>
    </xf>
    <xf numFmtId="0" fontId="5" fillId="21" borderId="4" xfId="1" applyNumberFormat="1" applyFont="1" applyFill="1" applyBorder="1" applyAlignment="1">
      <alignment horizontal="center" vertical="center"/>
    </xf>
    <xf numFmtId="0" fontId="66" fillId="16" borderId="1" xfId="1" applyNumberFormat="1" applyFont="1" applyFill="1" applyBorder="1" applyAlignment="1">
      <alignment vertical="center"/>
    </xf>
    <xf numFmtId="0" fontId="66" fillId="16" borderId="0" xfId="1" applyNumberFormat="1" applyFont="1" applyFill="1" applyBorder="1" applyAlignment="1">
      <alignment vertical="center"/>
    </xf>
    <xf numFmtId="0" fontId="66" fillId="16" borderId="0" xfId="1" applyNumberFormat="1" applyFont="1" applyFill="1" applyBorder="1" applyAlignment="1">
      <alignment horizontal="center" vertical="center"/>
    </xf>
    <xf numFmtId="0" fontId="66" fillId="16" borderId="2" xfId="1" applyNumberFormat="1" applyFont="1" applyFill="1" applyBorder="1" applyAlignment="1">
      <alignment vertical="center"/>
    </xf>
    <xf numFmtId="49" fontId="5" fillId="21" borderId="0" xfId="1" applyNumberFormat="1" applyFont="1" applyFill="1" applyBorder="1" applyAlignment="1">
      <alignment horizontal="left" vertical="center"/>
    </xf>
    <xf numFmtId="0" fontId="4" fillId="21" borderId="0" xfId="1" applyNumberFormat="1" applyFont="1" applyFill="1" applyBorder="1" applyAlignment="1">
      <alignment vertical="center"/>
    </xf>
    <xf numFmtId="0" fontId="4" fillId="21" borderId="0" xfId="1" applyNumberFormat="1" applyFont="1" applyFill="1" applyBorder="1" applyAlignment="1">
      <alignment horizontal="center" vertical="center"/>
    </xf>
    <xf numFmtId="0" fontId="4" fillId="21" borderId="2" xfId="1" applyNumberFormat="1" applyFont="1" applyFill="1" applyBorder="1" applyAlignment="1">
      <alignment horizontal="center" vertical="center"/>
    </xf>
    <xf numFmtId="0" fontId="5" fillId="21" borderId="2" xfId="1" applyNumberFormat="1" applyFont="1" applyFill="1" applyBorder="1" applyAlignment="1">
      <alignment horizontal="center" vertical="center"/>
    </xf>
    <xf numFmtId="49" fontId="4" fillId="21" borderId="0" xfId="1" applyNumberFormat="1" applyFont="1" applyFill="1" applyBorder="1" applyAlignment="1">
      <alignment horizontal="center" vertical="center"/>
    </xf>
    <xf numFmtId="49" fontId="4" fillId="21" borderId="0" xfId="1" applyNumberFormat="1" applyFont="1" applyFill="1" applyBorder="1" applyAlignment="1">
      <alignment vertical="center"/>
    </xf>
    <xf numFmtId="49" fontId="4" fillId="21" borderId="2" xfId="1" applyNumberFormat="1" applyFont="1" applyFill="1" applyBorder="1" applyAlignment="1">
      <alignment horizontal="center" vertical="center"/>
    </xf>
    <xf numFmtId="49" fontId="4" fillId="21" borderId="0" xfId="17" applyNumberFormat="1" applyFont="1" applyFill="1" applyBorder="1" applyAlignment="1">
      <alignment vertical="center"/>
    </xf>
    <xf numFmtId="0" fontId="4" fillId="21" borderId="0" xfId="1" applyNumberFormat="1" applyFont="1" applyFill="1" applyBorder="1" applyAlignment="1">
      <alignment horizontal="left" vertical="center"/>
    </xf>
    <xf numFmtId="0" fontId="68" fillId="16" borderId="0" xfId="1" applyNumberFormat="1" applyFont="1" applyFill="1" applyBorder="1" applyAlignment="1">
      <alignment vertical="center"/>
    </xf>
    <xf numFmtId="0" fontId="4" fillId="21" borderId="7" xfId="1" applyNumberFormat="1" applyFont="1" applyFill="1" applyBorder="1" applyAlignment="1">
      <alignment horizontal="left" vertical="center"/>
    </xf>
    <xf numFmtId="0" fontId="4" fillId="21" borderId="4" xfId="1" applyNumberFormat="1" applyFont="1" applyFill="1" applyBorder="1" applyAlignment="1">
      <alignment vertical="center"/>
    </xf>
    <xf numFmtId="49" fontId="4" fillId="21" borderId="7" xfId="17" applyNumberFormat="1" applyFont="1" applyFill="1" applyBorder="1" applyAlignment="1">
      <alignment vertical="center"/>
    </xf>
    <xf numFmtId="49" fontId="69" fillId="21" borderId="7" xfId="17" applyNumberFormat="1" applyFont="1" applyFill="1" applyBorder="1" applyAlignment="1">
      <alignment horizontal="center" vertical="center"/>
    </xf>
    <xf numFmtId="49" fontId="4" fillId="21" borderId="8" xfId="17" applyNumberFormat="1" applyFont="1" applyFill="1" applyBorder="1" applyAlignment="1">
      <alignment vertical="center"/>
    </xf>
    <xf numFmtId="0" fontId="69" fillId="21" borderId="0" xfId="1" applyNumberFormat="1" applyFont="1" applyFill="1" applyBorder="1" applyAlignment="1">
      <alignment horizontal="center" vertical="center"/>
    </xf>
    <xf numFmtId="0" fontId="4" fillId="21" borderId="2" xfId="1" applyNumberFormat="1" applyFont="1" applyFill="1" applyBorder="1" applyAlignment="1">
      <alignment vertical="center"/>
    </xf>
    <xf numFmtId="0" fontId="71" fillId="22" borderId="107" xfId="23" applyFont="1" applyFill="1" applyBorder="1" applyAlignment="1">
      <alignment horizontal="center" vertical="center" wrapText="1"/>
    </xf>
    <xf numFmtId="0" fontId="4" fillId="21" borderId="2" xfId="1" applyNumberFormat="1" applyFont="1" applyFill="1" applyBorder="1" applyAlignment="1">
      <alignment horizontal="left" vertical="center"/>
    </xf>
    <xf numFmtId="0" fontId="4" fillId="21" borderId="4" xfId="1" applyNumberFormat="1" applyFont="1" applyFill="1" applyBorder="1" applyAlignment="1">
      <alignment horizontal="left" vertical="center"/>
    </xf>
    <xf numFmtId="0" fontId="69" fillId="21" borderId="4" xfId="1" applyNumberFormat="1" applyFont="1" applyFill="1" applyBorder="1" applyAlignment="1">
      <alignment horizontal="center" vertical="center"/>
    </xf>
    <xf numFmtId="0" fontId="4" fillId="21" borderId="5" xfId="1" applyNumberFormat="1" applyFont="1" applyFill="1" applyBorder="1" applyAlignment="1">
      <alignment horizontal="left" vertical="center"/>
    </xf>
    <xf numFmtId="49" fontId="4" fillId="21" borderId="2" xfId="1" applyNumberFormat="1" applyFont="1" applyFill="1" applyBorder="1" applyAlignment="1">
      <alignment vertical="center"/>
    </xf>
    <xf numFmtId="49" fontId="4" fillId="21" borderId="0" xfId="1" applyNumberFormat="1" applyFont="1" applyFill="1" applyBorder="1" applyAlignment="1">
      <alignment horizontal="left" vertical="center"/>
    </xf>
    <xf numFmtId="49" fontId="4" fillId="21" borderId="2" xfId="1" applyNumberFormat="1" applyFont="1" applyFill="1" applyBorder="1" applyAlignment="1">
      <alignment horizontal="left" vertical="center"/>
    </xf>
    <xf numFmtId="0" fontId="4" fillId="21" borderId="0" xfId="1" applyNumberFormat="1" applyFont="1" applyFill="1" applyBorder="1" applyAlignment="1">
      <alignment vertical="top" wrapText="1"/>
    </xf>
    <xf numFmtId="0" fontId="72" fillId="16" borderId="0" xfId="1" applyNumberFormat="1" applyFont="1" applyFill="1" applyBorder="1" applyAlignment="1">
      <alignment horizontal="center" vertical="center"/>
    </xf>
    <xf numFmtId="49" fontId="69" fillId="21" borderId="0" xfId="1" applyNumberFormat="1" applyFont="1" applyFill="1" applyBorder="1" applyAlignment="1">
      <alignment horizontal="center" vertical="center"/>
    </xf>
    <xf numFmtId="49" fontId="69" fillId="21" borderId="0" xfId="1" applyNumberFormat="1" applyFont="1" applyFill="1" applyBorder="1" applyAlignment="1">
      <alignment vertical="center"/>
    </xf>
    <xf numFmtId="49" fontId="73" fillId="21" borderId="0" xfId="22" applyNumberFormat="1" applyFont="1" applyFill="1" applyBorder="1" applyAlignment="1" applyProtection="1">
      <alignment vertical="center"/>
    </xf>
    <xf numFmtId="49" fontId="73" fillId="21" borderId="0" xfId="22" applyNumberFormat="1" applyFont="1" applyFill="1" applyBorder="1" applyAlignment="1">
      <alignment vertical="center"/>
    </xf>
    <xf numFmtId="49" fontId="4" fillId="21" borderId="2" xfId="17" applyNumberFormat="1" applyFont="1" applyFill="1" applyBorder="1" applyAlignment="1">
      <alignment vertical="center"/>
    </xf>
    <xf numFmtId="0" fontId="4" fillId="21" borderId="4" xfId="1" applyNumberFormat="1" applyFont="1" applyFill="1" applyBorder="1" applyAlignment="1">
      <alignment horizontal="center" vertical="center"/>
    </xf>
    <xf numFmtId="0" fontId="4" fillId="21" borderId="5" xfId="1" applyNumberFormat="1" applyFont="1" applyFill="1" applyBorder="1" applyAlignment="1">
      <alignment vertical="center"/>
    </xf>
    <xf numFmtId="0" fontId="5" fillId="21" borderId="5" xfId="1" applyNumberFormat="1" applyFont="1" applyFill="1" applyBorder="1" applyAlignment="1">
      <alignment vertical="center"/>
    </xf>
    <xf numFmtId="0" fontId="5" fillId="16" borderId="1" xfId="1" applyNumberFormat="1" applyFont="1" applyFill="1" applyBorder="1" applyAlignment="1">
      <alignment horizontal="center" vertical="center"/>
    </xf>
    <xf numFmtId="0" fontId="5" fillId="16" borderId="0" xfId="1" applyNumberFormat="1" applyFont="1" applyFill="1" applyBorder="1" applyAlignment="1">
      <alignment horizontal="center" vertical="center" wrapText="1"/>
    </xf>
    <xf numFmtId="0" fontId="5" fillId="16" borderId="2" xfId="1" applyNumberFormat="1" applyFont="1" applyFill="1" applyBorder="1" applyAlignment="1">
      <alignment horizontal="center" vertical="center"/>
    </xf>
    <xf numFmtId="0" fontId="65" fillId="16" borderId="0" xfId="1" applyNumberFormat="1" applyFont="1" applyFill="1" applyBorder="1" applyAlignment="1">
      <alignment horizontal="center" vertical="center"/>
    </xf>
    <xf numFmtId="0" fontId="4" fillId="4" borderId="0" xfId="1" applyNumberFormat="1" applyFont="1" applyFill="1" applyBorder="1" applyAlignment="1">
      <alignment horizontal="left" vertical="center"/>
    </xf>
    <xf numFmtId="0" fontId="4" fillId="4" borderId="2" xfId="1" applyNumberFormat="1" applyFont="1" applyFill="1" applyBorder="1" applyAlignment="1">
      <alignment horizontal="left" vertical="center"/>
    </xf>
    <xf numFmtId="0" fontId="74" fillId="0" borderId="0" xfId="0" applyFont="1" applyAlignment="1">
      <alignment horizontal="center" vertical="center"/>
    </xf>
    <xf numFmtId="0" fontId="3" fillId="3" borderId="108" xfId="0" applyFont="1" applyFill="1" applyBorder="1" applyAlignment="1">
      <alignment horizontal="center" vertical="center" wrapText="1"/>
    </xf>
    <xf numFmtId="0" fontId="3" fillId="3" borderId="109" xfId="0" applyFont="1" applyFill="1" applyBorder="1" applyAlignment="1">
      <alignment horizontal="center" vertical="center" wrapText="1"/>
    </xf>
    <xf numFmtId="0" fontId="3" fillId="3" borderId="110" xfId="0" applyFont="1" applyFill="1" applyBorder="1" applyAlignment="1">
      <alignment horizontal="center" vertical="center" wrapText="1"/>
    </xf>
    <xf numFmtId="2" fontId="5" fillId="21" borderId="0" xfId="1" applyNumberFormat="1" applyFont="1" applyFill="1" applyBorder="1" applyAlignment="1">
      <alignment vertical="center"/>
    </xf>
    <xf numFmtId="2" fontId="5" fillId="21" borderId="4" xfId="1" applyNumberFormat="1" applyFont="1" applyFill="1" applyBorder="1" applyAlignment="1">
      <alignment vertical="center"/>
    </xf>
    <xf numFmtId="49" fontId="5" fillId="21" borderId="4" xfId="1" applyNumberFormat="1" applyFont="1" applyFill="1" applyBorder="1" applyAlignment="1">
      <alignment vertical="center"/>
    </xf>
    <xf numFmtId="49" fontId="4" fillId="21" borderId="4" xfId="1" applyNumberFormat="1" applyFont="1" applyFill="1" applyBorder="1" applyAlignment="1">
      <alignment vertical="center"/>
    </xf>
    <xf numFmtId="49" fontId="4" fillId="21" borderId="5" xfId="1" applyNumberFormat="1" applyFont="1" applyFill="1" applyBorder="1" applyAlignment="1">
      <alignment vertical="center"/>
    </xf>
    <xf numFmtId="10" fontId="5" fillId="21" borderId="0" xfId="2" applyNumberFormat="1" applyFont="1" applyFill="1" applyBorder="1" applyAlignment="1">
      <alignment vertical="center"/>
    </xf>
    <xf numFmtId="10" fontId="5" fillId="21" borderId="4" xfId="2" applyNumberFormat="1" applyFont="1" applyFill="1" applyBorder="1" applyAlignment="1">
      <alignment vertical="center"/>
    </xf>
    <xf numFmtId="0" fontId="5" fillId="21" borderId="54" xfId="1" applyNumberFormat="1" applyFont="1" applyFill="1" applyBorder="1" applyAlignment="1">
      <alignment vertical="center"/>
    </xf>
    <xf numFmtId="0" fontId="5" fillId="21" borderId="16" xfId="1" applyNumberFormat="1" applyFont="1" applyFill="1" applyBorder="1" applyAlignment="1">
      <alignment vertical="center"/>
    </xf>
    <xf numFmtId="0" fontId="5" fillId="21" borderId="16" xfId="1" applyNumberFormat="1" applyFont="1" applyFill="1" applyBorder="1" applyAlignment="1">
      <alignment horizontal="center" vertical="center"/>
    </xf>
    <xf numFmtId="10" fontId="5" fillId="21" borderId="16" xfId="2" applyNumberFormat="1" applyFont="1" applyFill="1" applyBorder="1" applyAlignment="1">
      <alignment vertical="center"/>
    </xf>
    <xf numFmtId="0" fontId="5" fillId="21" borderId="17" xfId="1" applyNumberFormat="1" applyFont="1" applyFill="1" applyBorder="1" applyAlignment="1">
      <alignment vertical="center"/>
    </xf>
    <xf numFmtId="2" fontId="5" fillId="21" borderId="16" xfId="1" applyNumberFormat="1" applyFont="1" applyFill="1" applyBorder="1" applyAlignment="1">
      <alignment vertical="center"/>
    </xf>
    <xf numFmtId="0" fontId="5" fillId="21" borderId="32" xfId="1" applyNumberFormat="1" applyFont="1" applyFill="1" applyBorder="1" applyAlignment="1">
      <alignment vertical="center"/>
    </xf>
    <xf numFmtId="0" fontId="5" fillId="21" borderId="32" xfId="1" applyNumberFormat="1" applyFont="1" applyFill="1" applyBorder="1" applyAlignment="1">
      <alignment horizontal="center" vertical="center"/>
    </xf>
    <xf numFmtId="2" fontId="5" fillId="21" borderId="32" xfId="1" applyNumberFormat="1" applyFont="1" applyFill="1" applyBorder="1" applyAlignment="1">
      <alignment vertical="center"/>
    </xf>
    <xf numFmtId="10" fontId="5" fillId="21" borderId="32" xfId="2" applyNumberFormat="1" applyFont="1" applyFill="1" applyBorder="1" applyAlignment="1">
      <alignment vertical="center"/>
    </xf>
    <xf numFmtId="0" fontId="5" fillId="21" borderId="31" xfId="1" applyNumberFormat="1" applyFont="1" applyFill="1" applyBorder="1" applyAlignment="1">
      <alignment vertical="center"/>
    </xf>
    <xf numFmtId="0" fontId="5" fillId="21" borderId="112" xfId="1" applyNumberFormat="1" applyFont="1" applyFill="1" applyBorder="1" applyAlignment="1">
      <alignment vertical="center"/>
    </xf>
    <xf numFmtId="0" fontId="5" fillId="21" borderId="114" xfId="1" applyNumberFormat="1" applyFont="1" applyFill="1" applyBorder="1" applyAlignment="1">
      <alignment vertical="center"/>
    </xf>
    <xf numFmtId="0" fontId="5" fillId="21" borderId="57" xfId="1" applyNumberFormat="1" applyFont="1" applyFill="1" applyBorder="1" applyAlignment="1">
      <alignment vertical="center"/>
    </xf>
    <xf numFmtId="0" fontId="5" fillId="21" borderId="113" xfId="1" applyNumberFormat="1" applyFont="1" applyFill="1" applyBorder="1" applyAlignment="1">
      <alignment vertical="center"/>
    </xf>
    <xf numFmtId="2" fontId="5" fillId="21" borderId="115" xfId="1" applyNumberFormat="1" applyFont="1" applyFill="1" applyBorder="1" applyAlignment="1">
      <alignment vertical="center"/>
    </xf>
    <xf numFmtId="10" fontId="5" fillId="21" borderId="115" xfId="2" applyNumberFormat="1" applyFont="1" applyFill="1" applyBorder="1" applyAlignment="1">
      <alignment vertical="center"/>
    </xf>
    <xf numFmtId="0" fontId="5" fillId="21" borderId="115" xfId="1" applyNumberFormat="1" applyFont="1" applyFill="1" applyBorder="1" applyAlignment="1">
      <alignment vertical="center"/>
    </xf>
    <xf numFmtId="0" fontId="5" fillId="21" borderId="116" xfId="1" applyNumberFormat="1" applyFont="1" applyFill="1" applyBorder="1" applyAlignment="1">
      <alignment vertical="center"/>
    </xf>
    <xf numFmtId="0" fontId="5" fillId="21" borderId="51" xfId="1" applyNumberFormat="1" applyFont="1" applyFill="1" applyBorder="1" applyAlignment="1">
      <alignment vertical="center"/>
    </xf>
    <xf numFmtId="0" fontId="5" fillId="21" borderId="40" xfId="1" applyNumberFormat="1" applyFont="1" applyFill="1" applyBorder="1" applyAlignment="1">
      <alignment vertical="center"/>
    </xf>
    <xf numFmtId="0" fontId="5" fillId="21" borderId="39" xfId="1" applyNumberFormat="1" applyFont="1" applyFill="1" applyBorder="1" applyAlignment="1">
      <alignment vertical="center"/>
    </xf>
    <xf numFmtId="0" fontId="5" fillId="21" borderId="38" xfId="1" applyNumberFormat="1" applyFont="1" applyFill="1" applyBorder="1" applyAlignment="1">
      <alignment vertical="center"/>
    </xf>
    <xf numFmtId="0" fontId="69" fillId="21" borderId="0" xfId="1" applyNumberFormat="1" applyFont="1" applyFill="1" applyBorder="1" applyAlignment="1">
      <alignment vertical="center" wrapText="1"/>
    </xf>
    <xf numFmtId="0" fontId="4" fillId="21" borderId="7" xfId="1" applyNumberFormat="1" applyFont="1" applyFill="1" applyBorder="1" applyAlignment="1">
      <alignment vertical="center"/>
    </xf>
    <xf numFmtId="0" fontId="67" fillId="16" borderId="0" xfId="1" applyNumberFormat="1" applyFont="1" applyFill="1" applyBorder="1" applyAlignment="1">
      <alignment vertical="center"/>
    </xf>
    <xf numFmtId="0" fontId="4" fillId="4" borderId="0" xfId="1" applyNumberFormat="1" applyFont="1" applyFill="1" applyBorder="1" applyAlignment="1">
      <alignment vertical="center"/>
    </xf>
    <xf numFmtId="0" fontId="50" fillId="16" borderId="0" xfId="1" applyNumberFormat="1" applyFont="1" applyFill="1" applyBorder="1" applyAlignment="1">
      <alignment vertical="center"/>
    </xf>
    <xf numFmtId="0" fontId="5" fillId="21" borderId="7" xfId="1" applyNumberFormat="1" applyFont="1" applyFill="1" applyBorder="1" applyAlignment="1">
      <alignment vertical="center"/>
    </xf>
    <xf numFmtId="0" fontId="5" fillId="21" borderId="7" xfId="1" applyNumberFormat="1" applyFont="1" applyFill="1" applyBorder="1" applyAlignment="1">
      <alignment horizontal="center" vertical="center"/>
    </xf>
    <xf numFmtId="0" fontId="69" fillId="21" borderId="1" xfId="1" applyNumberFormat="1" applyFont="1" applyFill="1" applyBorder="1" applyAlignment="1">
      <alignment vertical="center"/>
    </xf>
    <xf numFmtId="0" fontId="75" fillId="21" borderId="15" xfId="0" applyFont="1" applyFill="1" applyBorder="1" applyAlignment="1">
      <alignment vertical="center"/>
    </xf>
    <xf numFmtId="0" fontId="75" fillId="21" borderId="3" xfId="0" applyFont="1" applyFill="1" applyBorder="1" applyAlignment="1">
      <alignment vertical="center"/>
    </xf>
    <xf numFmtId="0" fontId="75" fillId="21" borderId="1" xfId="0" applyFont="1" applyFill="1" applyBorder="1" applyAlignment="1">
      <alignment vertical="center"/>
    </xf>
    <xf numFmtId="0" fontId="69" fillId="21" borderId="3" xfId="1" applyNumberFormat="1" applyFont="1" applyFill="1" applyBorder="1" applyAlignment="1">
      <alignment vertical="center"/>
    </xf>
    <xf numFmtId="0" fontId="69" fillId="4" borderId="1" xfId="1" applyNumberFormat="1" applyFont="1" applyFill="1" applyBorder="1" applyAlignment="1">
      <alignment vertical="center"/>
    </xf>
    <xf numFmtId="0" fontId="69" fillId="21" borderId="1" xfId="1" applyNumberFormat="1" applyFont="1" applyFill="1" applyBorder="1" applyAlignment="1">
      <alignment vertical="top"/>
    </xf>
    <xf numFmtId="0" fontId="65" fillId="21" borderId="1" xfId="1" applyNumberFormat="1" applyFont="1" applyFill="1" applyBorder="1" applyAlignment="1">
      <alignment vertical="center"/>
    </xf>
    <xf numFmtId="0" fontId="69" fillId="21" borderId="6" xfId="1" applyNumberFormat="1" applyFont="1" applyFill="1" applyBorder="1" applyAlignment="1">
      <alignment vertical="center"/>
    </xf>
    <xf numFmtId="0" fontId="75" fillId="21" borderId="111" xfId="0" applyFont="1" applyFill="1" applyBorder="1" applyAlignment="1">
      <alignment vertical="center"/>
    </xf>
    <xf numFmtId="0" fontId="69" fillId="21" borderId="117" xfId="1" applyNumberFormat="1" applyFont="1" applyFill="1" applyBorder="1" applyAlignment="1">
      <alignment vertical="center"/>
    </xf>
    <xf numFmtId="0" fontId="69" fillId="21" borderId="15" xfId="1" applyNumberFormat="1" applyFont="1" applyFill="1" applyBorder="1" applyAlignment="1">
      <alignment vertical="center"/>
    </xf>
    <xf numFmtId="0" fontId="69" fillId="21" borderId="111" xfId="1" applyNumberFormat="1" applyFont="1" applyFill="1" applyBorder="1" applyAlignment="1">
      <alignment vertical="center"/>
    </xf>
    <xf numFmtId="49" fontId="39" fillId="2" borderId="48" xfId="1" applyNumberFormat="1" applyFont="1" applyFill="1" applyBorder="1" applyAlignment="1">
      <alignment horizontal="center" vertical="top" wrapText="1"/>
    </xf>
    <xf numFmtId="14" fontId="39" fillId="2" borderId="48" xfId="1" applyNumberFormat="1" applyFont="1" applyFill="1" applyBorder="1" applyAlignment="1">
      <alignment horizontal="center" vertical="top" wrapText="1"/>
    </xf>
    <xf numFmtId="49" fontId="39" fillId="2" borderId="48" xfId="1" applyNumberFormat="1" applyFont="1" applyFill="1" applyBorder="1" applyAlignment="1">
      <alignment horizontal="center" vertical="top"/>
    </xf>
    <xf numFmtId="0" fontId="41" fillId="0" borderId="0" xfId="0" applyFont="1" applyAlignment="1">
      <alignment vertical="center"/>
    </xf>
    <xf numFmtId="49" fontId="42" fillId="0" borderId="99" xfId="0" applyNumberFormat="1" applyFont="1" applyBorder="1" applyAlignment="1">
      <alignment horizontal="center" vertical="center"/>
    </xf>
    <xf numFmtId="49" fontId="40" fillId="0" borderId="0" xfId="1" applyNumberFormat="1" applyFont="1" applyAlignment="1">
      <alignment horizontal="centerContinuous" vertical="center"/>
    </xf>
    <xf numFmtId="0" fontId="41" fillId="0" borderId="0" xfId="0" applyFont="1" applyAlignment="1">
      <alignment horizontal="centerContinuous" vertical="center"/>
    </xf>
    <xf numFmtId="43" fontId="0" fillId="0" borderId="0" xfId="1" applyFont="1" applyAlignment="1">
      <alignment vertical="center"/>
    </xf>
    <xf numFmtId="43" fontId="54" fillId="0" borderId="0" xfId="1" applyFont="1" applyAlignment="1">
      <alignment vertical="center"/>
    </xf>
    <xf numFmtId="43" fontId="24" fillId="0" borderId="0" xfId="1" applyFont="1" applyAlignment="1">
      <alignment vertical="center"/>
    </xf>
    <xf numFmtId="43" fontId="74" fillId="0" borderId="0" xfId="1" applyFont="1" applyAlignment="1">
      <alignment horizontal="center" vertical="center"/>
    </xf>
    <xf numFmtId="43" fontId="0" fillId="0" borderId="0" xfId="1" applyFont="1" applyAlignment="1">
      <alignment horizontal="center" vertical="center"/>
    </xf>
    <xf numFmtId="0" fontId="13" fillId="0" borderId="0" xfId="4" applyFont="1"/>
    <xf numFmtId="17" fontId="13" fillId="0" borderId="0" xfId="4" applyNumberFormat="1" applyFont="1"/>
    <xf numFmtId="0" fontId="13" fillId="0" borderId="0" xfId="19" applyFont="1"/>
    <xf numFmtId="43" fontId="76" fillId="0" borderId="0" xfId="18" applyFont="1" applyBorder="1"/>
    <xf numFmtId="0" fontId="76" fillId="0" borderId="0" xfId="0" applyFont="1"/>
    <xf numFmtId="4" fontId="60" fillId="9" borderId="112" xfId="23" applyNumberFormat="1" applyFont="1" applyFill="1" applyBorder="1" applyAlignment="1">
      <alignment horizontal="center"/>
    </xf>
    <xf numFmtId="4" fontId="60" fillId="9" borderId="113" xfId="23" applyNumberFormat="1" applyFont="1" applyFill="1" applyBorder="1"/>
    <xf numFmtId="4" fontId="60" fillId="9" borderId="112" xfId="23" applyNumberFormat="1" applyFont="1" applyFill="1" applyBorder="1"/>
    <xf numFmtId="4" fontId="60" fillId="9" borderId="54" xfId="23" applyNumberFormat="1" applyFont="1" applyFill="1" applyBorder="1"/>
    <xf numFmtId="0" fontId="13" fillId="7" borderId="45" xfId="4" applyFont="1" applyFill="1" applyBorder="1" applyAlignment="1">
      <alignment horizontal="center" vertical="center"/>
    </xf>
    <xf numFmtId="49" fontId="35" fillId="0" borderId="72" xfId="19" applyNumberFormat="1" applyFont="1" applyBorder="1" applyAlignment="1">
      <alignment vertical="center"/>
    </xf>
    <xf numFmtId="49" fontId="31" fillId="0" borderId="72" xfId="19" applyNumberFormat="1" applyFont="1" applyBorder="1"/>
    <xf numFmtId="0" fontId="31" fillId="0" borderId="72" xfId="19" applyFont="1" applyBorder="1" applyAlignment="1">
      <alignment horizontal="center"/>
    </xf>
    <xf numFmtId="0" fontId="31" fillId="0" borderId="72" xfId="19" applyFont="1" applyBorder="1"/>
    <xf numFmtId="49" fontId="31" fillId="0" borderId="72" xfId="19" applyNumberFormat="1" applyFont="1" applyBorder="1" applyAlignment="1">
      <alignment horizontal="center"/>
    </xf>
    <xf numFmtId="14" fontId="31" fillId="0" borderId="72" xfId="19" applyNumberFormat="1" applyFont="1" applyBorder="1" applyAlignment="1">
      <alignment horizontal="center"/>
    </xf>
    <xf numFmtId="49" fontId="34" fillId="0" borderId="0" xfId="1" applyNumberFormat="1" applyFont="1" applyFill="1" applyBorder="1" applyAlignment="1">
      <alignment horizontal="left" vertical="center"/>
    </xf>
    <xf numFmtId="49" fontId="34" fillId="0" borderId="0" xfId="1" applyNumberFormat="1" applyFont="1" applyFill="1" applyBorder="1" applyAlignment="1">
      <alignment horizontal="right" vertical="center"/>
    </xf>
    <xf numFmtId="49" fontId="34" fillId="0" borderId="0" xfId="1" applyNumberFormat="1" applyFont="1" applyFill="1" applyBorder="1" applyAlignment="1">
      <alignment horizontal="center" vertical="center"/>
    </xf>
    <xf numFmtId="14" fontId="34" fillId="0" borderId="0" xfId="1" applyNumberFormat="1" applyFont="1" applyFill="1" applyBorder="1" applyAlignment="1">
      <alignment horizontal="left" vertical="center"/>
    </xf>
    <xf numFmtId="49" fontId="34" fillId="0" borderId="100" xfId="0" applyNumberFormat="1" applyFont="1" applyBorder="1" applyAlignment="1">
      <alignment horizontal="centerContinuous" vertical="center"/>
    </xf>
    <xf numFmtId="14" fontId="34" fillId="0" borderId="0" xfId="0" applyNumberFormat="1" applyFont="1" applyAlignment="1">
      <alignment horizontal="centerContinuous" vertical="center"/>
    </xf>
    <xf numFmtId="43" fontId="34" fillId="0" borderId="0" xfId="1" applyFont="1" applyBorder="1" applyAlignment="1">
      <alignment horizontal="centerContinuous" vertical="center"/>
    </xf>
    <xf numFmtId="43" fontId="34" fillId="0" borderId="100" xfId="1" applyFont="1" applyBorder="1" applyAlignment="1">
      <alignment horizontal="centerContinuous" vertical="center"/>
    </xf>
    <xf numFmtId="1" fontId="34" fillId="0" borderId="0" xfId="1" applyNumberFormat="1" applyFont="1" applyBorder="1" applyAlignment="1">
      <alignment horizontal="centerContinuous" vertical="center"/>
    </xf>
    <xf numFmtId="43" fontId="34" fillId="21" borderId="122" xfId="1" applyFont="1" applyFill="1" applyBorder="1" applyAlignment="1">
      <alignment vertical="center"/>
    </xf>
    <xf numFmtId="43" fontId="34" fillId="21" borderId="123" xfId="1" applyFont="1" applyFill="1" applyBorder="1" applyAlignment="1">
      <alignment vertical="center"/>
    </xf>
    <xf numFmtId="0" fontId="34" fillId="0" borderId="126" xfId="0" applyFont="1" applyBorder="1" applyAlignment="1">
      <alignment horizontal="center" vertical="center"/>
    </xf>
    <xf numFmtId="43" fontId="34" fillId="21" borderId="78" xfId="1" applyFont="1" applyFill="1" applyBorder="1" applyAlignment="1">
      <alignment vertical="center"/>
    </xf>
    <xf numFmtId="43" fontId="34" fillId="21" borderId="127" xfId="1" applyFont="1" applyFill="1" applyBorder="1" applyAlignment="1">
      <alignment vertical="center"/>
    </xf>
    <xf numFmtId="43" fontId="34" fillId="21" borderId="48" xfId="1" applyFont="1" applyFill="1" applyBorder="1" applyAlignment="1">
      <alignment vertical="center"/>
    </xf>
    <xf numFmtId="43" fontId="39" fillId="2" borderId="49" xfId="1" applyFont="1" applyFill="1" applyBorder="1" applyAlignment="1">
      <alignment horizontal="center" vertical="top" wrapText="1"/>
    </xf>
    <xf numFmtId="49" fontId="57" fillId="16" borderId="78" xfId="0" applyNumberFormat="1" applyFont="1" applyFill="1" applyBorder="1" applyAlignment="1">
      <alignment horizontal="center" vertical="center" wrapText="1"/>
    </xf>
    <xf numFmtId="43" fontId="34" fillId="21" borderId="48" xfId="1" applyFont="1" applyFill="1" applyBorder="1" applyAlignment="1">
      <alignment horizontal="center" vertical="center"/>
    </xf>
    <xf numFmtId="43" fontId="34" fillId="21" borderId="47" xfId="1" applyFont="1" applyFill="1" applyBorder="1" applyAlignment="1">
      <alignment horizontal="center" vertical="center"/>
    </xf>
    <xf numFmtId="43" fontId="34" fillId="21" borderId="57" xfId="1" applyFont="1" applyFill="1" applyBorder="1" applyAlignment="1">
      <alignment horizontal="center" vertical="center"/>
    </xf>
    <xf numFmtId="43" fontId="32" fillId="2" borderId="60" xfId="1" applyFont="1" applyFill="1" applyBorder="1" applyAlignment="1">
      <alignment horizontal="center" vertical="top" wrapText="1"/>
    </xf>
    <xf numFmtId="43" fontId="34" fillId="21" borderId="60" xfId="1" applyFont="1" applyFill="1" applyBorder="1" applyAlignment="1">
      <alignment horizontal="center" vertical="center"/>
    </xf>
    <xf numFmtId="43" fontId="34" fillId="21" borderId="49" xfId="1" applyFont="1" applyFill="1" applyBorder="1" applyAlignment="1">
      <alignment horizontal="center" vertical="center"/>
    </xf>
    <xf numFmtId="49" fontId="31" fillId="0" borderId="0" xfId="19" applyNumberFormat="1" applyFont="1" applyAlignment="1">
      <alignment vertical="center"/>
    </xf>
    <xf numFmtId="0" fontId="31" fillId="0" borderId="0" xfId="19" applyFont="1" applyAlignment="1">
      <alignment horizontal="center" vertical="center"/>
    </xf>
    <xf numFmtId="0" fontId="31" fillId="0" borderId="0" xfId="19" applyFont="1" applyAlignment="1">
      <alignment vertical="center"/>
    </xf>
    <xf numFmtId="49" fontId="31" fillId="0" borderId="0" xfId="19" applyNumberFormat="1" applyFont="1" applyAlignment="1">
      <alignment horizontal="center" vertical="center"/>
    </xf>
    <xf numFmtId="14" fontId="31" fillId="0" borderId="0" xfId="19" applyNumberFormat="1" applyFont="1" applyAlignment="1">
      <alignment vertical="center"/>
    </xf>
    <xf numFmtId="49" fontId="39" fillId="2" borderId="136" xfId="19" applyNumberFormat="1" applyFont="1" applyFill="1" applyBorder="1" applyAlignment="1">
      <alignment horizontal="centerContinuous" vertical="center" wrapText="1"/>
    </xf>
    <xf numFmtId="49" fontId="39" fillId="2" borderId="120" xfId="19" applyNumberFormat="1" applyFont="1" applyFill="1" applyBorder="1" applyAlignment="1">
      <alignment horizontal="centerContinuous" vertical="center" wrapText="1"/>
    </xf>
    <xf numFmtId="43" fontId="39" fillId="2" borderId="137" xfId="1" applyFont="1" applyFill="1" applyBorder="1" applyAlignment="1">
      <alignment horizontal="centerContinuous" vertical="center" wrapText="1"/>
    </xf>
    <xf numFmtId="43" fontId="34" fillId="30" borderId="64" xfId="1" applyFont="1" applyFill="1" applyBorder="1" applyAlignment="1">
      <alignment vertical="center"/>
    </xf>
    <xf numFmtId="0" fontId="4" fillId="0" borderId="15" xfId="4" applyBorder="1" applyAlignment="1">
      <alignment vertical="center"/>
    </xf>
    <xf numFmtId="0" fontId="13" fillId="7" borderId="1" xfId="4" applyFont="1" applyFill="1" applyBorder="1" applyAlignment="1">
      <alignment horizontal="center" vertical="center"/>
    </xf>
    <xf numFmtId="0" fontId="13" fillId="7" borderId="0" xfId="4" applyFont="1" applyFill="1" applyAlignment="1">
      <alignment horizontal="center" vertical="center"/>
    </xf>
    <xf numFmtId="0" fontId="5" fillId="7" borderId="48" xfId="4" applyFont="1" applyFill="1" applyBorder="1" applyAlignment="1">
      <alignment horizontal="center" vertical="center"/>
    </xf>
    <xf numFmtId="0" fontId="10" fillId="0" borderId="98" xfId="4" applyFont="1" applyBorder="1" applyAlignment="1">
      <alignment horizontal="center" vertical="center"/>
    </xf>
    <xf numFmtId="0" fontId="10" fillId="0" borderId="28" xfId="4" applyFont="1" applyBorder="1" applyAlignment="1">
      <alignment horizontal="center" vertical="center"/>
    </xf>
    <xf numFmtId="0" fontId="10" fillId="7" borderId="59" xfId="4" applyFont="1" applyFill="1" applyBorder="1" applyAlignment="1">
      <alignment horizontal="center" vertical="center"/>
    </xf>
    <xf numFmtId="0" fontId="8" fillId="0" borderId="51" xfId="4" applyFont="1" applyBorder="1" applyAlignment="1">
      <alignment vertical="center"/>
    </xf>
    <xf numFmtId="43" fontId="39" fillId="2" borderId="132" xfId="1" applyFont="1" applyFill="1" applyBorder="1" applyAlignment="1">
      <alignment horizontal="center" vertical="top" wrapText="1"/>
    </xf>
    <xf numFmtId="43" fontId="39" fillId="2" borderId="133" xfId="1" applyFont="1" applyFill="1" applyBorder="1" applyAlignment="1">
      <alignment horizontal="center" vertical="top" wrapText="1"/>
    </xf>
    <xf numFmtId="43" fontId="42" fillId="0" borderId="99" xfId="1" quotePrefix="1" applyFont="1" applyBorder="1" applyAlignment="1">
      <alignment horizontal="center" vertical="center"/>
    </xf>
    <xf numFmtId="43" fontId="42" fillId="0" borderId="0" xfId="1" applyFont="1" applyBorder="1" applyAlignment="1">
      <alignment horizontal="center" vertical="center"/>
    </xf>
    <xf numFmtId="0" fontId="38" fillId="0" borderId="48" xfId="0" applyFont="1" applyBorder="1" applyAlignment="1">
      <alignment horizontal="center" vertical="center" wrapText="1"/>
    </xf>
    <xf numFmtId="49" fontId="57" fillId="16" borderId="73" xfId="0" applyNumberFormat="1" applyFont="1" applyFill="1" applyBorder="1" applyAlignment="1">
      <alignment horizontal="center" vertical="top" wrapText="1"/>
    </xf>
    <xf numFmtId="43" fontId="39" fillId="2" borderId="134" xfId="1" applyFont="1" applyFill="1" applyBorder="1" applyAlignment="1">
      <alignment horizontal="center" vertical="top" wrapText="1"/>
    </xf>
    <xf numFmtId="43" fontId="32" fillId="2" borderId="73" xfId="1" applyFont="1" applyFill="1" applyBorder="1" applyAlignment="1">
      <alignment horizontal="center" vertical="top" wrapText="1"/>
    </xf>
    <xf numFmtId="43" fontId="32" fillId="2" borderId="140" xfId="1" applyFont="1" applyFill="1" applyBorder="1" applyAlignment="1">
      <alignment horizontal="center" vertical="top" wrapText="1"/>
    </xf>
    <xf numFmtId="43" fontId="32" fillId="2" borderId="141" xfId="1" applyFont="1" applyFill="1" applyBorder="1" applyAlignment="1">
      <alignment horizontal="center" vertical="top" wrapText="1"/>
    </xf>
    <xf numFmtId="43" fontId="32" fillId="2" borderId="142" xfId="1" applyFont="1" applyFill="1" applyBorder="1" applyAlignment="1">
      <alignment horizontal="center" vertical="top" wrapText="1"/>
    </xf>
    <xf numFmtId="49" fontId="4" fillId="21" borderId="0" xfId="1" quotePrefix="1" applyNumberFormat="1" applyFont="1" applyFill="1" applyBorder="1" applyAlignment="1">
      <alignment vertical="center"/>
    </xf>
    <xf numFmtId="0" fontId="39" fillId="2" borderId="73" xfId="0" applyFont="1" applyFill="1" applyBorder="1" applyAlignment="1">
      <alignment horizontal="center" vertical="top" wrapText="1"/>
    </xf>
    <xf numFmtId="49" fontId="39" fillId="2" borderId="73" xfId="19" applyNumberFormat="1" applyFont="1" applyFill="1" applyBorder="1" applyAlignment="1">
      <alignment horizontal="center" vertical="top" wrapText="1"/>
    </xf>
    <xf numFmtId="15" fontId="39" fillId="2" borderId="73" xfId="19" applyNumberFormat="1" applyFont="1" applyFill="1" applyBorder="1" applyAlignment="1">
      <alignment horizontal="center" vertical="top" wrapText="1"/>
    </xf>
    <xf numFmtId="0" fontId="39" fillId="2" borderId="73" xfId="19" applyFont="1" applyFill="1" applyBorder="1" applyAlignment="1">
      <alignment horizontal="center" vertical="top" wrapText="1"/>
    </xf>
    <xf numFmtId="43" fontId="31" fillId="0" borderId="73" xfId="1" applyFont="1" applyBorder="1" applyAlignment="1">
      <alignment vertical="top"/>
    </xf>
    <xf numFmtId="0" fontId="39" fillId="2" borderId="75" xfId="19" applyFont="1" applyFill="1" applyBorder="1" applyAlignment="1">
      <alignment horizontal="center" vertical="top" wrapText="1"/>
    </xf>
    <xf numFmtId="43" fontId="39" fillId="2" borderId="75" xfId="1" applyFont="1" applyFill="1" applyBorder="1" applyAlignment="1">
      <alignment horizontal="center" vertical="center" wrapText="1"/>
    </xf>
    <xf numFmtId="43" fontId="39" fillId="2" borderId="75" xfId="1" applyFont="1" applyFill="1" applyBorder="1" applyAlignment="1">
      <alignment horizontal="center" vertical="top" wrapText="1"/>
    </xf>
    <xf numFmtId="14" fontId="39" fillId="2" borderId="73" xfId="0" applyNumberFormat="1" applyFont="1" applyFill="1" applyBorder="1" applyAlignment="1">
      <alignment horizontal="center" vertical="top" wrapText="1"/>
    </xf>
    <xf numFmtId="49" fontId="39" fillId="2" borderId="73" xfId="0" applyNumberFormat="1" applyFont="1" applyFill="1" applyBorder="1" applyAlignment="1">
      <alignment horizontal="center" vertical="top" wrapText="1"/>
    </xf>
    <xf numFmtId="43" fontId="39" fillId="2" borderId="73" xfId="1" applyFont="1" applyFill="1" applyBorder="1" applyAlignment="1">
      <alignment horizontal="center" vertical="top" wrapText="1"/>
    </xf>
    <xf numFmtId="49" fontId="36" fillId="0" borderId="54" xfId="0" applyNumberFormat="1" applyFont="1" applyBorder="1"/>
    <xf numFmtId="49" fontId="36" fillId="0" borderId="54" xfId="0" applyNumberFormat="1" applyFont="1" applyBorder="1" applyAlignment="1">
      <alignment horizontal="center"/>
    </xf>
    <xf numFmtId="170" fontId="36" fillId="0" borderId="54" xfId="1" applyNumberFormat="1" applyFont="1" applyBorder="1"/>
    <xf numFmtId="43" fontId="36" fillId="0" borderId="54" xfId="1" applyFont="1" applyBorder="1"/>
    <xf numFmtId="0" fontId="36" fillId="0" borderId="54" xfId="0" applyFont="1" applyBorder="1" applyAlignment="1">
      <alignment horizontal="center"/>
    </xf>
    <xf numFmtId="170" fontId="36" fillId="0" borderId="54" xfId="0" applyNumberFormat="1" applyFont="1" applyBorder="1"/>
    <xf numFmtId="0" fontId="36" fillId="0" borderId="54" xfId="0" applyFont="1" applyBorder="1" applyAlignment="1">
      <alignment horizontal="right"/>
    </xf>
    <xf numFmtId="10" fontId="36" fillId="0" borderId="54" xfId="2" applyNumberFormat="1" applyFont="1" applyBorder="1"/>
    <xf numFmtId="14" fontId="36" fillId="0" borderId="54" xfId="0" applyNumberFormat="1" applyFont="1" applyBorder="1"/>
    <xf numFmtId="43" fontId="36" fillId="0" borderId="54" xfId="1" applyFont="1" applyBorder="1" applyAlignment="1">
      <alignment horizontal="center"/>
    </xf>
    <xf numFmtId="43" fontId="39" fillId="2" borderId="146" xfId="1" applyFont="1" applyFill="1" applyBorder="1" applyAlignment="1">
      <alignment horizontal="center" vertical="top" wrapText="1"/>
    </xf>
    <xf numFmtId="43" fontId="39" fillId="2" borderId="2" xfId="1" applyFont="1" applyFill="1" applyBorder="1" applyAlignment="1">
      <alignment horizontal="center" vertical="top" wrapText="1"/>
    </xf>
    <xf numFmtId="1" fontId="36" fillId="0" borderId="54" xfId="0" applyNumberFormat="1" applyFont="1" applyBorder="1" applyAlignment="1">
      <alignment horizontal="center"/>
    </xf>
    <xf numFmtId="49" fontId="36" fillId="0" borderId="54" xfId="1" applyNumberFormat="1" applyFont="1" applyBorder="1"/>
    <xf numFmtId="1" fontId="36" fillId="0" borderId="54" xfId="0" applyNumberFormat="1" applyFont="1" applyBorder="1"/>
    <xf numFmtId="164" fontId="39" fillId="2" borderId="73" xfId="1" applyNumberFormat="1" applyFont="1" applyFill="1" applyBorder="1" applyAlignment="1">
      <alignment horizontal="center" vertical="top" wrapText="1"/>
    </xf>
    <xf numFmtId="49" fontId="39" fillId="2" borderId="73" xfId="1" applyNumberFormat="1" applyFont="1" applyFill="1" applyBorder="1" applyAlignment="1">
      <alignment horizontal="center" vertical="top" wrapText="1"/>
    </xf>
    <xf numFmtId="49" fontId="36" fillId="0" borderId="48" xfId="0" applyNumberFormat="1" applyFont="1" applyBorder="1"/>
    <xf numFmtId="0" fontId="36" fillId="0" borderId="48" xfId="0" applyFont="1" applyBorder="1"/>
    <xf numFmtId="49" fontId="36" fillId="0" borderId="48" xfId="0" applyNumberFormat="1" applyFont="1" applyBorder="1" applyAlignment="1">
      <alignment horizontal="center"/>
    </xf>
    <xf numFmtId="170" fontId="36" fillId="0" borderId="48" xfId="0" applyNumberFormat="1" applyFont="1" applyBorder="1"/>
    <xf numFmtId="43" fontId="36" fillId="0" borderId="48" xfId="1" applyFont="1" applyBorder="1"/>
    <xf numFmtId="0" fontId="36" fillId="0" borderId="48" xfId="0" applyFont="1" applyBorder="1" applyAlignment="1">
      <alignment horizontal="center"/>
    </xf>
    <xf numFmtId="170" fontId="36" fillId="0" borderId="48" xfId="1" applyNumberFormat="1" applyFont="1" applyBorder="1"/>
    <xf numFmtId="14" fontId="36" fillId="0" borderId="48" xfId="0" applyNumberFormat="1" applyFont="1" applyBorder="1"/>
    <xf numFmtId="43" fontId="36" fillId="0" borderId="48" xfId="1" applyFont="1" applyBorder="1" applyAlignment="1">
      <alignment horizontal="center"/>
    </xf>
    <xf numFmtId="1" fontId="36" fillId="0" borderId="48" xfId="0" applyNumberFormat="1" applyFont="1" applyBorder="1" applyAlignment="1">
      <alignment horizontal="center"/>
    </xf>
    <xf numFmtId="49" fontId="36" fillId="0" borderId="48" xfId="1" applyNumberFormat="1" applyFont="1" applyBorder="1"/>
    <xf numFmtId="1" fontId="36" fillId="0" borderId="48" xfId="0" applyNumberFormat="1" applyFont="1" applyBorder="1"/>
    <xf numFmtId="49" fontId="31" fillId="0" borderId="54" xfId="19" applyNumberFormat="1" applyFont="1" applyBorder="1"/>
    <xf numFmtId="0" fontId="31" fillId="0" borderId="54" xfId="19" applyFont="1" applyBorder="1" applyAlignment="1">
      <alignment horizontal="center"/>
    </xf>
    <xf numFmtId="0" fontId="31" fillId="0" borderId="54" xfId="19" applyFont="1" applyBorder="1"/>
    <xf numFmtId="170" fontId="31" fillId="0" borderId="54" xfId="1" applyNumberFormat="1" applyFont="1" applyBorder="1"/>
    <xf numFmtId="43" fontId="31" fillId="0" borderId="54" xfId="1" applyFont="1" applyBorder="1"/>
    <xf numFmtId="49" fontId="31" fillId="0" borderId="48" xfId="19" applyNumberFormat="1" applyFont="1" applyBorder="1"/>
    <xf numFmtId="0" fontId="31" fillId="0" borderId="48" xfId="19" applyFont="1" applyBorder="1" applyAlignment="1">
      <alignment horizontal="center"/>
    </xf>
    <xf numFmtId="0" fontId="31" fillId="0" borderId="48" xfId="19" applyFont="1" applyBorder="1"/>
    <xf numFmtId="170" fontId="31" fillId="0" borderId="48" xfId="1" applyNumberFormat="1" applyFont="1" applyBorder="1"/>
    <xf numFmtId="43" fontId="31" fillId="0" borderId="48" xfId="1" applyFont="1" applyBorder="1"/>
    <xf numFmtId="43" fontId="31" fillId="0" borderId="126" xfId="1" applyFont="1" applyBorder="1"/>
    <xf numFmtId="43" fontId="34" fillId="30" borderId="37" xfId="1" applyFont="1" applyFill="1" applyBorder="1" applyAlignment="1">
      <alignment vertical="center"/>
    </xf>
    <xf numFmtId="43" fontId="34" fillId="30" borderId="24" xfId="1" applyFont="1" applyFill="1" applyBorder="1" applyAlignment="1">
      <alignment vertical="center"/>
    </xf>
    <xf numFmtId="49" fontId="31" fillId="0" borderId="0" xfId="4" applyNumberFormat="1" applyFont="1" applyAlignment="1">
      <alignment horizontal="left"/>
    </xf>
    <xf numFmtId="49" fontId="31" fillId="0" borderId="54" xfId="4" applyNumberFormat="1" applyFont="1" applyBorder="1" applyAlignment="1">
      <alignment horizontal="left"/>
    </xf>
    <xf numFmtId="49" fontId="31" fillId="0" borderId="54" xfId="20" applyNumberFormat="1" applyFont="1" applyFill="1" applyBorder="1" applyAlignment="1" applyProtection="1"/>
    <xf numFmtId="43" fontId="31" fillId="0" borderId="54" xfId="1" applyFont="1" applyBorder="1" applyAlignment="1"/>
    <xf numFmtId="49" fontId="31" fillId="0" borderId="48" xfId="4" applyNumberFormat="1" applyFont="1" applyBorder="1"/>
    <xf numFmtId="49" fontId="31" fillId="0" borderId="48" xfId="4" applyNumberFormat="1" applyFont="1" applyBorder="1" applyAlignment="1">
      <alignment horizontal="center"/>
    </xf>
    <xf numFmtId="2" fontId="31" fillId="7" borderId="0" xfId="1" applyNumberFormat="1" applyFont="1" applyFill="1" applyAlignment="1">
      <alignment vertical="center"/>
    </xf>
    <xf numFmtId="2" fontId="87" fillId="0" borderId="0" xfId="1" applyNumberFormat="1" applyFont="1" applyAlignment="1">
      <alignment vertical="center"/>
    </xf>
    <xf numFmtId="4" fontId="31" fillId="0" borderId="54" xfId="20" applyNumberFormat="1" applyFont="1" applyFill="1" applyBorder="1" applyProtection="1"/>
    <xf numFmtId="49" fontId="31" fillId="0" borderId="54" xfId="20" applyNumberFormat="1" applyFont="1" applyFill="1" applyBorder="1" applyAlignment="1" applyProtection="1">
      <alignment horizontal="center"/>
    </xf>
    <xf numFmtId="49" fontId="88" fillId="2" borderId="19" xfId="4" applyNumberFormat="1" applyFont="1" applyFill="1" applyBorder="1" applyAlignment="1">
      <alignment horizontal="center" vertical="top" wrapText="1"/>
    </xf>
    <xf numFmtId="0" fontId="31" fillId="0" borderId="141" xfId="0" applyFont="1" applyBorder="1" applyAlignment="1">
      <alignment horizontal="center" vertical="top"/>
    </xf>
    <xf numFmtId="0" fontId="59" fillId="20" borderId="21" xfId="23" applyFont="1" applyFill="1" applyBorder="1" applyAlignment="1">
      <alignment horizontal="center" vertical="center" wrapText="1"/>
    </xf>
    <xf numFmtId="0" fontId="59" fillId="20" borderId="22" xfId="23" applyFont="1" applyFill="1" applyBorder="1" applyAlignment="1">
      <alignment horizontal="center" vertical="center" wrapText="1"/>
    </xf>
    <xf numFmtId="0" fontId="59" fillId="20" borderId="23" xfId="23" applyFont="1" applyFill="1" applyBorder="1" applyAlignment="1">
      <alignment horizontal="center" vertical="center" wrapText="1"/>
    </xf>
    <xf numFmtId="0" fontId="70" fillId="16" borderId="105" xfId="23" applyFont="1" applyFill="1" applyBorder="1" applyAlignment="1">
      <alignment horizontal="center" vertical="center" wrapText="1"/>
    </xf>
    <xf numFmtId="0" fontId="70" fillId="16" borderId="96" xfId="23" applyFont="1" applyFill="1" applyBorder="1" applyAlignment="1">
      <alignment horizontal="center" vertical="center" wrapText="1"/>
    </xf>
    <xf numFmtId="0" fontId="70" fillId="16" borderId="106" xfId="23" applyFont="1" applyFill="1" applyBorder="1" applyAlignment="1">
      <alignment horizontal="center" vertical="center" wrapText="1"/>
    </xf>
    <xf numFmtId="0" fontId="4" fillId="21" borderId="0" xfId="1" applyNumberFormat="1" applyFont="1" applyFill="1" applyBorder="1" applyAlignment="1">
      <alignment vertical="top" wrapText="1"/>
    </xf>
    <xf numFmtId="49" fontId="5" fillId="21" borderId="54" xfId="1" applyNumberFormat="1" applyFont="1" applyFill="1" applyBorder="1" applyAlignment="1">
      <alignment vertical="center"/>
    </xf>
    <xf numFmtId="0" fontId="4" fillId="0" borderId="0" xfId="4"/>
    <xf numFmtId="0" fontId="5" fillId="0" borderId="77" xfId="4" applyFont="1" applyBorder="1" applyAlignment="1">
      <alignment horizontal="center"/>
    </xf>
    <xf numFmtId="0" fontId="29" fillId="6" borderId="78" xfId="4" applyFont="1" applyFill="1" applyBorder="1" applyAlignment="1">
      <alignment horizontal="center" vertical="top" wrapText="1"/>
    </xf>
    <xf numFmtId="0" fontId="29" fillId="6" borderId="79" xfId="4" applyFont="1" applyFill="1" applyBorder="1" applyAlignment="1">
      <alignment horizontal="center" vertical="top" wrapText="1"/>
    </xf>
    <xf numFmtId="0" fontId="29" fillId="6" borderId="75" xfId="4" applyFont="1" applyFill="1" applyBorder="1" applyAlignment="1">
      <alignment horizontal="center" vertical="center" wrapText="1"/>
    </xf>
    <xf numFmtId="0" fontId="29" fillId="6" borderId="83" xfId="4" applyFont="1" applyFill="1" applyBorder="1" applyAlignment="1">
      <alignment horizontal="center" vertical="center" wrapText="1"/>
    </xf>
    <xf numFmtId="0" fontId="29" fillId="6" borderId="94" xfId="4" applyFont="1" applyFill="1" applyBorder="1" applyAlignment="1">
      <alignment horizontal="center" vertical="center" wrapText="1"/>
    </xf>
    <xf numFmtId="0" fontId="29" fillId="6" borderId="0" xfId="4" applyFont="1" applyFill="1" applyAlignment="1">
      <alignment horizontal="center" vertical="center" wrapText="1"/>
    </xf>
    <xf numFmtId="0" fontId="29" fillId="6" borderId="74" xfId="4" applyFont="1" applyFill="1" applyBorder="1" applyAlignment="1">
      <alignment horizontal="center" vertical="center" wrapText="1"/>
    </xf>
    <xf numFmtId="0" fontId="28" fillId="6" borderId="72" xfId="4" applyFont="1" applyFill="1" applyBorder="1" applyAlignment="1">
      <alignment horizontal="center" vertical="center"/>
    </xf>
    <xf numFmtId="0" fontId="29" fillId="6" borderId="73" xfId="4" applyFont="1" applyFill="1" applyBorder="1" applyAlignment="1">
      <alignment horizontal="center" vertical="center" wrapText="1"/>
    </xf>
    <xf numFmtId="0" fontId="29" fillId="6" borderId="82" xfId="4" applyFont="1" applyFill="1" applyBorder="1" applyAlignment="1">
      <alignment horizontal="center" vertical="center" wrapText="1"/>
    </xf>
    <xf numFmtId="0" fontId="29" fillId="6" borderId="73" xfId="4" applyFont="1" applyFill="1" applyBorder="1" applyAlignment="1">
      <alignment horizontal="center" vertical="top" wrapText="1"/>
    </xf>
    <xf numFmtId="0" fontId="29" fillId="6" borderId="82" xfId="4" applyFont="1" applyFill="1" applyBorder="1" applyAlignment="1">
      <alignment horizontal="center" vertical="top" wrapText="1"/>
    </xf>
    <xf numFmtId="0" fontId="29" fillId="6" borderId="76" xfId="4" applyFont="1" applyFill="1" applyBorder="1" applyAlignment="1">
      <alignment horizontal="center" vertical="top" wrapText="1"/>
    </xf>
    <xf numFmtId="0" fontId="29" fillId="6" borderId="77" xfId="4" applyFont="1" applyFill="1" applyBorder="1" applyAlignment="1">
      <alignment horizontal="center" vertical="top" wrapText="1"/>
    </xf>
    <xf numFmtId="0" fontId="49" fillId="0" borderId="0" xfId="4" applyFont="1"/>
    <xf numFmtId="0" fontId="5" fillId="0" borderId="0" xfId="4" applyFont="1"/>
    <xf numFmtId="0" fontId="4" fillId="0" borderId="93" xfId="4" applyBorder="1"/>
    <xf numFmtId="164" fontId="9" fillId="0" borderId="51" xfId="8" applyNumberFormat="1" applyFont="1" applyBorder="1" applyAlignment="1">
      <alignment horizontal="center" vertical="center"/>
    </xf>
    <xf numFmtId="164" fontId="9" fillId="0" borderId="16" xfId="8" applyNumberFormat="1" applyFont="1" applyBorder="1" applyAlignment="1">
      <alignment horizontal="center" vertical="center"/>
    </xf>
    <xf numFmtId="164" fontId="9" fillId="0" borderId="44" xfId="8" applyNumberFormat="1" applyFont="1" applyBorder="1" applyAlignment="1">
      <alignment horizontal="center" vertical="center"/>
    </xf>
    <xf numFmtId="164" fontId="9" fillId="0" borderId="13" xfId="8" applyNumberFormat="1" applyFont="1" applyBorder="1" applyAlignment="1">
      <alignment horizontal="center" vertical="center"/>
    </xf>
    <xf numFmtId="0" fontId="7" fillId="31" borderId="21" xfId="4" applyFont="1" applyFill="1" applyBorder="1" applyAlignment="1">
      <alignment vertical="center"/>
    </xf>
    <xf numFmtId="0" fontId="7" fillId="31" borderId="22" xfId="4" applyFont="1" applyFill="1" applyBorder="1" applyAlignment="1">
      <alignment vertical="center"/>
    </xf>
    <xf numFmtId="0" fontId="7" fillId="31" borderId="23" xfId="4" applyFont="1" applyFill="1" applyBorder="1" applyAlignment="1">
      <alignment vertical="center"/>
    </xf>
    <xf numFmtId="0" fontId="10" fillId="7" borderId="44" xfId="4" applyFont="1" applyFill="1" applyBorder="1" applyAlignment="1">
      <alignment horizontal="center" vertical="center"/>
    </xf>
    <xf numFmtId="0" fontId="10" fillId="7" borderId="13" xfId="4" applyFont="1" applyFill="1" applyBorder="1" applyAlignment="1">
      <alignment horizontal="center" vertical="center"/>
    </xf>
    <xf numFmtId="0" fontId="10" fillId="7" borderId="14" xfId="4" applyFont="1" applyFill="1" applyBorder="1" applyAlignment="1">
      <alignment horizontal="center" vertical="center"/>
    </xf>
    <xf numFmtId="0" fontId="17" fillId="7" borderId="54" xfId="4" applyFont="1" applyFill="1" applyBorder="1" applyAlignment="1">
      <alignment horizontal="center" vertical="center"/>
    </xf>
    <xf numFmtId="0" fontId="7" fillId="5" borderId="51" xfId="4" applyFont="1" applyFill="1" applyBorder="1" applyAlignment="1">
      <alignment horizontal="center" vertical="center"/>
    </xf>
    <xf numFmtId="0" fontId="7" fillId="5" borderId="57" xfId="4" applyFont="1" applyFill="1" applyBorder="1" applyAlignment="1">
      <alignment horizontal="center" vertical="center"/>
    </xf>
    <xf numFmtId="164" fontId="9" fillId="0" borderId="47" xfId="8" applyNumberFormat="1" applyFont="1" applyBorder="1" applyAlignment="1">
      <alignment horizontal="center" vertical="center"/>
    </xf>
    <xf numFmtId="164" fontId="9" fillId="0" borderId="49" xfId="8" applyNumberFormat="1" applyFont="1" applyBorder="1" applyAlignment="1">
      <alignment horizontal="center" vertical="center"/>
    </xf>
    <xf numFmtId="165" fontId="9" fillId="13" borderId="51" xfId="8" applyNumberFormat="1" applyFont="1" applyFill="1" applyBorder="1" applyAlignment="1">
      <alignment horizontal="center" vertical="center"/>
    </xf>
    <xf numFmtId="165" fontId="9" fillId="13" borderId="16" xfId="8" applyNumberFormat="1" applyFont="1" applyFill="1" applyBorder="1" applyAlignment="1">
      <alignment horizontal="center" vertical="center"/>
    </xf>
    <xf numFmtId="165" fontId="9" fillId="13" borderId="57" xfId="8" applyNumberFormat="1" applyFont="1" applyFill="1" applyBorder="1" applyAlignment="1">
      <alignment horizontal="center" vertical="center"/>
    </xf>
    <xf numFmtId="0" fontId="10" fillId="7" borderId="28" xfId="4" applyFont="1" applyFill="1" applyBorder="1" applyAlignment="1">
      <alignment horizontal="center" vertical="center"/>
    </xf>
    <xf numFmtId="0" fontId="10" fillId="7" borderId="0" xfId="4" applyFont="1" applyFill="1" applyAlignment="1">
      <alignment horizontal="center" vertical="center"/>
    </xf>
    <xf numFmtId="0" fontId="10" fillId="7" borderId="2" xfId="4" applyFont="1" applyFill="1" applyBorder="1" applyAlignment="1">
      <alignment horizontal="center" vertical="center"/>
    </xf>
    <xf numFmtId="164" fontId="12" fillId="0" borderId="21" xfId="8" applyNumberFormat="1" applyFont="1" applyBorder="1" applyAlignment="1">
      <alignment horizontal="center" vertical="center"/>
    </xf>
    <xf numFmtId="164" fontId="12" fillId="0" borderId="22" xfId="8" applyNumberFormat="1" applyFont="1" applyBorder="1" applyAlignment="1">
      <alignment horizontal="center" vertical="center"/>
    </xf>
    <xf numFmtId="164" fontId="9" fillId="12" borderId="30" xfId="8" applyNumberFormat="1" applyFont="1" applyFill="1" applyBorder="1" applyAlignment="1">
      <alignment horizontal="center" vertical="center"/>
    </xf>
    <xf numFmtId="164" fontId="9" fillId="12" borderId="4" xfId="8" applyNumberFormat="1" applyFont="1" applyFill="1" applyBorder="1" applyAlignment="1">
      <alignment horizontal="center" vertical="center"/>
    </xf>
    <xf numFmtId="164" fontId="9" fillId="12" borderId="5" xfId="8" applyNumberFormat="1" applyFont="1" applyFill="1" applyBorder="1" applyAlignment="1">
      <alignment horizontal="center" vertical="center"/>
    </xf>
    <xf numFmtId="0" fontId="10" fillId="12" borderId="38" xfId="4" applyFont="1" applyFill="1" applyBorder="1" applyAlignment="1">
      <alignment horizontal="center" vertical="center"/>
    </xf>
    <xf numFmtId="0" fontId="10" fillId="12" borderId="32" xfId="4" applyFont="1" applyFill="1" applyBorder="1" applyAlignment="1">
      <alignment horizontal="center" vertical="center"/>
    </xf>
    <xf numFmtId="0" fontId="10" fillId="12" borderId="31" xfId="4" applyFont="1" applyFill="1" applyBorder="1" applyAlignment="1">
      <alignment horizontal="center" vertical="center"/>
    </xf>
    <xf numFmtId="0" fontId="10" fillId="12" borderId="51" xfId="4" applyFont="1" applyFill="1" applyBorder="1" applyAlignment="1">
      <alignment horizontal="center" vertical="center"/>
    </xf>
    <xf numFmtId="0" fontId="10" fillId="12" borderId="16" xfId="4" applyFont="1" applyFill="1" applyBorder="1" applyAlignment="1">
      <alignment horizontal="center" vertical="center"/>
    </xf>
    <xf numFmtId="0" fontId="10" fillId="12" borderId="17" xfId="4" applyFont="1" applyFill="1" applyBorder="1" applyAlignment="1">
      <alignment horizontal="center" vertical="center"/>
    </xf>
    <xf numFmtId="0" fontId="8" fillId="7" borderId="18" xfId="4" applyFont="1" applyFill="1" applyBorder="1" applyAlignment="1">
      <alignment horizontal="center" vertical="center" wrapText="1"/>
    </xf>
    <xf numFmtId="0" fontId="8" fillId="7" borderId="19" xfId="4" applyFont="1" applyFill="1" applyBorder="1" applyAlignment="1">
      <alignment horizontal="center" vertical="center" wrapText="1"/>
    </xf>
    <xf numFmtId="0" fontId="8" fillId="7" borderId="20" xfId="4" applyFont="1" applyFill="1" applyBorder="1" applyAlignment="1">
      <alignment horizontal="center" vertical="center" wrapText="1"/>
    </xf>
    <xf numFmtId="0" fontId="8" fillId="7" borderId="1" xfId="4" applyFont="1" applyFill="1" applyBorder="1" applyAlignment="1">
      <alignment horizontal="center" vertical="center" wrapText="1"/>
    </xf>
    <xf numFmtId="0" fontId="8" fillId="7" borderId="0" xfId="4" applyFont="1" applyFill="1" applyAlignment="1">
      <alignment horizontal="center" vertical="center" wrapText="1"/>
    </xf>
    <xf numFmtId="0" fontId="8" fillId="7" borderId="2" xfId="4" applyFont="1" applyFill="1" applyBorder="1" applyAlignment="1">
      <alignment horizontal="center" vertical="center" wrapText="1"/>
    </xf>
    <xf numFmtId="0" fontId="8" fillId="7" borderId="3" xfId="4" applyFont="1" applyFill="1" applyBorder="1" applyAlignment="1">
      <alignment horizontal="center" vertical="center" wrapText="1"/>
    </xf>
    <xf numFmtId="0" fontId="8" fillId="7" borderId="4" xfId="4" applyFont="1" applyFill="1" applyBorder="1" applyAlignment="1">
      <alignment horizontal="center" vertical="center" wrapText="1"/>
    </xf>
    <xf numFmtId="0" fontId="8" fillId="7" borderId="5" xfId="4" applyFont="1" applyFill="1" applyBorder="1" applyAlignment="1">
      <alignment horizontal="center" vertical="center" wrapText="1"/>
    </xf>
    <xf numFmtId="164" fontId="9" fillId="0" borderId="52" xfId="8" applyNumberFormat="1" applyFont="1" applyBorder="1" applyAlignment="1">
      <alignment horizontal="center" vertical="center"/>
    </xf>
    <xf numFmtId="164" fontId="9" fillId="0" borderId="22" xfId="8" applyNumberFormat="1" applyFont="1" applyBorder="1" applyAlignment="1">
      <alignment horizontal="center" vertical="center"/>
    </xf>
    <xf numFmtId="0" fontId="8" fillId="7" borderId="70" xfId="4" applyFont="1" applyFill="1" applyBorder="1" applyAlignment="1">
      <alignment horizontal="center" vertical="center" wrapText="1"/>
    </xf>
    <xf numFmtId="0" fontId="8" fillId="7" borderId="59" xfId="4" applyFont="1" applyFill="1" applyBorder="1" applyAlignment="1">
      <alignment horizontal="center" vertical="center" wrapText="1"/>
    </xf>
    <xf numFmtId="0" fontId="8" fillId="7" borderId="69" xfId="4" applyFont="1" applyFill="1" applyBorder="1" applyAlignment="1">
      <alignment horizontal="center" vertical="center" wrapText="1"/>
    </xf>
    <xf numFmtId="164" fontId="12" fillId="10" borderId="21" xfId="8" applyNumberFormat="1" applyFont="1" applyFill="1" applyBorder="1" applyAlignment="1">
      <alignment horizontal="center" vertical="center"/>
    </xf>
    <xf numFmtId="164" fontId="12" fillId="10" borderId="22" xfId="8" applyNumberFormat="1" applyFont="1" applyFill="1" applyBorder="1" applyAlignment="1">
      <alignment horizontal="center" vertical="center"/>
    </xf>
    <xf numFmtId="164" fontId="9" fillId="0" borderId="38" xfId="8" applyNumberFormat="1" applyFont="1" applyBorder="1" applyAlignment="1">
      <alignment horizontal="center" vertical="center"/>
    </xf>
    <xf numFmtId="164" fontId="9" fillId="0" borderId="32" xfId="8" applyNumberFormat="1" applyFont="1" applyBorder="1" applyAlignment="1">
      <alignment horizontal="center" vertical="center"/>
    </xf>
    <xf numFmtId="164" fontId="9" fillId="0" borderId="42" xfId="8" applyNumberFormat="1" applyFont="1" applyBorder="1" applyAlignment="1">
      <alignment horizontal="center" vertical="center"/>
    </xf>
    <xf numFmtId="164" fontId="9" fillId="0" borderId="10" xfId="8" applyNumberFormat="1" applyFont="1" applyBorder="1" applyAlignment="1">
      <alignment horizontal="center" vertical="center"/>
    </xf>
    <xf numFmtId="49" fontId="11" fillId="11" borderId="21" xfId="4" applyNumberFormat="1" applyFont="1" applyFill="1" applyBorder="1" applyAlignment="1">
      <alignment horizontal="center" vertical="center"/>
    </xf>
    <xf numFmtId="49" fontId="11" fillId="11" borderId="22" xfId="4" applyNumberFormat="1" applyFont="1" applyFill="1" applyBorder="1" applyAlignment="1">
      <alignment horizontal="center" vertical="center"/>
    </xf>
    <xf numFmtId="164" fontId="9" fillId="0" borderId="4" xfId="8" applyNumberFormat="1" applyFont="1" applyBorder="1" applyAlignment="1">
      <alignment horizontal="center" vertical="center"/>
    </xf>
    <xf numFmtId="164" fontId="9" fillId="0" borderId="5" xfId="8" applyNumberFormat="1" applyFont="1" applyBorder="1" applyAlignment="1">
      <alignment horizontal="center" vertical="center"/>
    </xf>
    <xf numFmtId="0" fontId="8" fillId="0" borderId="10" xfId="4" applyFont="1" applyBorder="1" applyAlignment="1">
      <alignment horizontal="center" vertical="center"/>
    </xf>
    <xf numFmtId="164" fontId="12" fillId="0" borderId="52" xfId="8" applyNumberFormat="1" applyFont="1" applyBorder="1" applyAlignment="1">
      <alignment horizontal="center" vertical="center"/>
    </xf>
    <xf numFmtId="164" fontId="9" fillId="0" borderId="40" xfId="8" applyNumberFormat="1" applyFont="1" applyBorder="1" applyAlignment="1">
      <alignment horizontal="center" vertical="center"/>
    </xf>
    <xf numFmtId="0" fontId="8" fillId="0" borderId="1" xfId="4" applyFont="1" applyBorder="1" applyAlignment="1">
      <alignment horizontal="center" vertical="center"/>
    </xf>
    <xf numFmtId="0" fontId="8" fillId="0" borderId="0" xfId="4" applyFont="1" applyAlignment="1">
      <alignment horizontal="center" vertical="center"/>
    </xf>
    <xf numFmtId="0" fontId="8" fillId="0" borderId="2" xfId="4" applyFont="1" applyBorder="1" applyAlignment="1">
      <alignment horizontal="center" vertical="center"/>
    </xf>
    <xf numFmtId="0" fontId="11" fillId="11" borderId="21" xfId="4" applyFont="1" applyFill="1" applyBorder="1" applyAlignment="1">
      <alignment horizontal="center" vertical="center"/>
    </xf>
    <xf numFmtId="0" fontId="11" fillId="11" borderId="22" xfId="4" applyFont="1" applyFill="1" applyBorder="1" applyAlignment="1">
      <alignment horizontal="center" vertical="center"/>
    </xf>
    <xf numFmtId="0" fontId="10" fillId="7" borderId="42" xfId="4" applyFont="1" applyFill="1" applyBorder="1" applyAlignment="1">
      <alignment horizontal="center" vertical="center" wrapText="1"/>
    </xf>
    <xf numFmtId="0" fontId="10" fillId="7" borderId="10" xfId="4" applyFont="1" applyFill="1" applyBorder="1" applyAlignment="1">
      <alignment horizontal="center" vertical="center" wrapText="1"/>
    </xf>
    <xf numFmtId="0" fontId="10" fillId="7" borderId="11" xfId="4" applyFont="1" applyFill="1" applyBorder="1" applyAlignment="1">
      <alignment horizontal="center" vertical="center" wrapText="1"/>
    </xf>
    <xf numFmtId="0" fontId="11" fillId="10" borderId="21" xfId="4" applyFont="1" applyFill="1" applyBorder="1" applyAlignment="1">
      <alignment horizontal="center" vertical="center"/>
    </xf>
    <xf numFmtId="0" fontId="11" fillId="10" borderId="22" xfId="4" applyFont="1" applyFill="1" applyBorder="1" applyAlignment="1">
      <alignment horizontal="center" vertical="center"/>
    </xf>
    <xf numFmtId="0" fontId="11" fillId="10" borderId="21" xfId="4" applyFont="1" applyFill="1" applyBorder="1" applyAlignment="1">
      <alignment horizontal="center" vertical="center" wrapText="1"/>
    </xf>
    <xf numFmtId="0" fontId="11" fillId="10" borderId="22" xfId="4" applyFont="1" applyFill="1" applyBorder="1" applyAlignment="1">
      <alignment horizontal="center" vertical="center" wrapText="1"/>
    </xf>
    <xf numFmtId="0" fontId="11" fillId="10" borderId="23" xfId="4" applyFont="1" applyFill="1" applyBorder="1" applyAlignment="1">
      <alignment horizontal="center" vertical="center" wrapText="1"/>
    </xf>
    <xf numFmtId="49" fontId="11" fillId="0" borderId="21" xfId="4" applyNumberFormat="1" applyFont="1" applyBorder="1" applyAlignment="1">
      <alignment horizontal="center" vertical="center"/>
    </xf>
    <xf numFmtId="49" fontId="11" fillId="0" borderId="22" xfId="4" applyNumberFormat="1" applyFont="1" applyBorder="1" applyAlignment="1">
      <alignment horizontal="center" vertical="center"/>
    </xf>
    <xf numFmtId="49" fontId="11" fillId="0" borderId="23" xfId="4" applyNumberFormat="1" applyFont="1" applyBorder="1" applyAlignment="1">
      <alignment horizontal="center" vertical="center"/>
    </xf>
    <xf numFmtId="0" fontId="14" fillId="7" borderId="65" xfId="4" applyFont="1" applyFill="1" applyBorder="1" applyAlignment="1">
      <alignment horizontal="center" vertical="center"/>
    </xf>
    <xf numFmtId="0" fontId="8" fillId="7" borderId="56" xfId="4" applyFont="1" applyFill="1" applyBorder="1" applyAlignment="1">
      <alignment horizontal="center" vertical="center" wrapText="1"/>
    </xf>
    <xf numFmtId="0" fontId="8" fillId="7" borderId="46" xfId="4" applyFont="1" applyFill="1" applyBorder="1" applyAlignment="1">
      <alignment horizontal="center" vertical="center" wrapText="1"/>
    </xf>
    <xf numFmtId="0" fontId="18" fillId="9" borderId="48" xfId="4" applyFont="1" applyFill="1" applyBorder="1" applyAlignment="1">
      <alignment horizontal="center" vertical="center"/>
    </xf>
    <xf numFmtId="0" fontId="18" fillId="9" borderId="45" xfId="4" applyFont="1" applyFill="1" applyBorder="1" applyAlignment="1">
      <alignment horizontal="center" vertical="center"/>
    </xf>
    <xf numFmtId="0" fontId="14" fillId="9" borderId="54" xfId="4" applyFont="1" applyFill="1" applyBorder="1" applyAlignment="1">
      <alignment horizontal="center" vertical="center"/>
    </xf>
    <xf numFmtId="0" fontId="13" fillId="9" borderId="51" xfId="4" applyFont="1" applyFill="1" applyBorder="1" applyAlignment="1">
      <alignment horizontal="center" vertical="center"/>
    </xf>
    <xf numFmtId="0" fontId="13" fillId="9" borderId="16" xfId="4" applyFont="1" applyFill="1" applyBorder="1" applyAlignment="1">
      <alignment horizontal="center" vertical="center"/>
    </xf>
    <xf numFmtId="0" fontId="13" fillId="9" borderId="57" xfId="4" applyFont="1" applyFill="1" applyBorder="1" applyAlignment="1">
      <alignment horizontal="center" vertical="center"/>
    </xf>
    <xf numFmtId="0" fontId="10" fillId="9" borderId="54" xfId="4" quotePrefix="1" applyFont="1" applyFill="1" applyBorder="1" applyAlignment="1">
      <alignment horizontal="center" vertical="center"/>
    </xf>
    <xf numFmtId="0" fontId="14" fillId="7" borderId="54" xfId="4" applyFont="1" applyFill="1" applyBorder="1" applyAlignment="1">
      <alignment horizontal="center" vertical="center"/>
    </xf>
    <xf numFmtId="164" fontId="15" fillId="9" borderId="13" xfId="8" applyNumberFormat="1" applyFont="1" applyFill="1" applyBorder="1" applyAlignment="1">
      <alignment horizontal="center" vertical="center"/>
    </xf>
    <xf numFmtId="164" fontId="15" fillId="9" borderId="44" xfId="8" applyNumberFormat="1" applyFont="1" applyFill="1" applyBorder="1" applyAlignment="1">
      <alignment horizontal="center" vertical="center"/>
    </xf>
    <xf numFmtId="164" fontId="15" fillId="9" borderId="13" xfId="8" quotePrefix="1" applyNumberFormat="1" applyFont="1" applyFill="1" applyBorder="1" applyAlignment="1">
      <alignment horizontal="center" vertical="center"/>
    </xf>
    <xf numFmtId="164" fontId="15" fillId="9" borderId="58" xfId="8" quotePrefix="1" applyNumberFormat="1" applyFont="1" applyFill="1" applyBorder="1" applyAlignment="1">
      <alignment horizontal="center" vertical="center"/>
    </xf>
    <xf numFmtId="0" fontId="5" fillId="7" borderId="18" xfId="4" applyFont="1" applyFill="1" applyBorder="1" applyAlignment="1">
      <alignment horizontal="left" vertical="center" wrapText="1"/>
    </xf>
    <xf numFmtId="0" fontId="6" fillId="7" borderId="19" xfId="4" applyFont="1" applyFill="1" applyBorder="1" applyAlignment="1">
      <alignment horizontal="left" vertical="center" wrapText="1"/>
    </xf>
    <xf numFmtId="0" fontId="6" fillId="7" borderId="3" xfId="4" applyFont="1" applyFill="1" applyBorder="1" applyAlignment="1">
      <alignment horizontal="left" vertical="center" wrapText="1"/>
    </xf>
    <xf numFmtId="0" fontId="6" fillId="7" borderId="4" xfId="4" applyFont="1" applyFill="1" applyBorder="1" applyAlignment="1">
      <alignment horizontal="left" vertical="center" wrapText="1"/>
    </xf>
    <xf numFmtId="0" fontId="13" fillId="7" borderId="18" xfId="4" applyFont="1" applyFill="1" applyBorder="1" applyAlignment="1">
      <alignment horizontal="center" vertical="center" wrapText="1"/>
    </xf>
    <xf numFmtId="0" fontId="13" fillId="7" borderId="19" xfId="4" applyFont="1" applyFill="1" applyBorder="1" applyAlignment="1">
      <alignment horizontal="center" vertical="center" wrapText="1"/>
    </xf>
    <xf numFmtId="0" fontId="13" fillId="7" borderId="20" xfId="4" applyFont="1" applyFill="1" applyBorder="1" applyAlignment="1">
      <alignment horizontal="center" vertical="center" wrapText="1"/>
    </xf>
    <xf numFmtId="0" fontId="13" fillId="7" borderId="3" xfId="4" applyFont="1" applyFill="1" applyBorder="1" applyAlignment="1">
      <alignment horizontal="center" vertical="center" wrapText="1"/>
    </xf>
    <xf numFmtId="0" fontId="13" fillId="7" borderId="4" xfId="4" applyFont="1" applyFill="1" applyBorder="1" applyAlignment="1">
      <alignment horizontal="center" vertical="center" wrapText="1"/>
    </xf>
    <xf numFmtId="0" fontId="13" fillId="7" borderId="5" xfId="4" applyFont="1" applyFill="1" applyBorder="1" applyAlignment="1">
      <alignment horizontal="center" vertical="center" wrapText="1"/>
    </xf>
    <xf numFmtId="0" fontId="13" fillId="7" borderId="21" xfId="4" applyFont="1" applyFill="1" applyBorder="1" applyAlignment="1">
      <alignment horizontal="center" vertical="center"/>
    </xf>
    <xf numFmtId="0" fontId="13" fillId="7" borderId="22" xfId="4" applyFont="1" applyFill="1" applyBorder="1" applyAlignment="1">
      <alignment horizontal="center" vertical="center"/>
    </xf>
    <xf numFmtId="0" fontId="13" fillId="7" borderId="23" xfId="4" applyFont="1" applyFill="1" applyBorder="1" applyAlignment="1">
      <alignment horizontal="center" vertical="center"/>
    </xf>
    <xf numFmtId="0" fontId="10" fillId="7" borderId="51" xfId="4" applyFont="1" applyFill="1" applyBorder="1" applyAlignment="1">
      <alignment horizontal="center" vertical="center"/>
    </xf>
    <xf numFmtId="0" fontId="10" fillId="7" borderId="16" xfId="4" applyFont="1" applyFill="1" applyBorder="1" applyAlignment="1">
      <alignment horizontal="center" vertical="center"/>
    </xf>
    <xf numFmtId="0" fontId="10" fillId="7" borderId="17" xfId="4" applyFont="1" applyFill="1" applyBorder="1" applyAlignment="1">
      <alignment horizontal="center" vertical="center"/>
    </xf>
    <xf numFmtId="0" fontId="14" fillId="0" borderId="16" xfId="4" applyFont="1" applyBorder="1" applyAlignment="1">
      <alignment horizontal="left" vertical="center" wrapText="1"/>
    </xf>
    <xf numFmtId="0" fontId="14" fillId="0" borderId="57" xfId="4" applyFont="1" applyBorder="1" applyAlignment="1">
      <alignment horizontal="left" vertical="center" wrapText="1"/>
    </xf>
    <xf numFmtId="0" fontId="14" fillId="0" borderId="13" xfId="4" applyFont="1" applyBorder="1" applyAlignment="1">
      <alignment horizontal="left" vertical="center" wrapText="1"/>
    </xf>
    <xf numFmtId="0" fontId="14" fillId="0" borderId="58" xfId="4" applyFont="1" applyBorder="1" applyAlignment="1">
      <alignment horizontal="left" vertical="center" wrapText="1"/>
    </xf>
    <xf numFmtId="165" fontId="9" fillId="13" borderId="44" xfId="8" applyNumberFormat="1" applyFont="1" applyFill="1" applyBorder="1" applyAlignment="1">
      <alignment horizontal="center" vertical="center"/>
    </xf>
    <xf numFmtId="165" fontId="9" fillId="13" borderId="13" xfId="8" applyNumberFormat="1" applyFont="1" applyFill="1" applyBorder="1" applyAlignment="1">
      <alignment horizontal="center" vertical="center"/>
    </xf>
    <xf numFmtId="165" fontId="9" fillId="13" borderId="58" xfId="8" applyNumberFormat="1" applyFont="1" applyFill="1" applyBorder="1" applyAlignment="1">
      <alignment horizontal="center" vertical="center"/>
    </xf>
    <xf numFmtId="0" fontId="11" fillId="7" borderId="21" xfId="4" applyFont="1" applyFill="1" applyBorder="1" applyAlignment="1">
      <alignment horizontal="center" vertical="center"/>
    </xf>
    <xf numFmtId="0" fontId="11" fillId="7" borderId="22" xfId="4" applyFont="1" applyFill="1" applyBorder="1" applyAlignment="1">
      <alignment horizontal="center" vertical="center"/>
    </xf>
    <xf numFmtId="0" fontId="11" fillId="7" borderId="23" xfId="4" applyFont="1" applyFill="1" applyBorder="1" applyAlignment="1">
      <alignment horizontal="center" vertical="center"/>
    </xf>
    <xf numFmtId="0" fontId="11" fillId="7" borderId="21" xfId="4" applyFont="1" applyFill="1" applyBorder="1" applyAlignment="1">
      <alignment horizontal="left" vertical="center"/>
    </xf>
    <xf numFmtId="0" fontId="11" fillId="7" borderId="22" xfId="4" applyFont="1" applyFill="1" applyBorder="1" applyAlignment="1">
      <alignment horizontal="left" vertical="center"/>
    </xf>
    <xf numFmtId="0" fontId="11" fillId="7" borderId="23" xfId="4" applyFont="1" applyFill="1" applyBorder="1" applyAlignment="1">
      <alignment horizontal="left" vertical="center"/>
    </xf>
    <xf numFmtId="164" fontId="9" fillId="12" borderId="44" xfId="8" applyNumberFormat="1" applyFont="1" applyFill="1" applyBorder="1" applyAlignment="1">
      <alignment horizontal="center" vertical="center"/>
    </xf>
    <xf numFmtId="164" fontId="9" fillId="12" borderId="13" xfId="8" applyNumberFormat="1" applyFont="1" applyFill="1" applyBorder="1" applyAlignment="1">
      <alignment horizontal="center" vertical="center"/>
    </xf>
    <xf numFmtId="164" fontId="9" fillId="12" borderId="14" xfId="8" applyNumberFormat="1" applyFont="1" applyFill="1" applyBorder="1" applyAlignment="1">
      <alignment horizontal="center" vertical="center"/>
    </xf>
    <xf numFmtId="0" fontId="10" fillId="12" borderId="54" xfId="4" applyFont="1" applyFill="1" applyBorder="1" applyAlignment="1">
      <alignment horizontal="center" vertical="center"/>
    </xf>
    <xf numFmtId="0" fontId="10" fillId="12" borderId="67" xfId="4" applyFont="1" applyFill="1" applyBorder="1" applyAlignment="1">
      <alignment horizontal="center" vertical="center"/>
    </xf>
    <xf numFmtId="0" fontId="8" fillId="7" borderId="28" xfId="4" applyFont="1" applyFill="1" applyBorder="1" applyAlignment="1">
      <alignment horizontal="center" vertical="center" wrapText="1"/>
    </xf>
    <xf numFmtId="0" fontId="8" fillId="7" borderId="44" xfId="4" applyFont="1" applyFill="1" applyBorder="1" applyAlignment="1">
      <alignment horizontal="center" vertical="center" wrapText="1"/>
    </xf>
    <xf numFmtId="0" fontId="8" fillId="7" borderId="13" xfId="4" applyFont="1" applyFill="1" applyBorder="1" applyAlignment="1">
      <alignment horizontal="center" vertical="center" wrapText="1"/>
    </xf>
    <xf numFmtId="0" fontId="8" fillId="7" borderId="58" xfId="4" applyFont="1" applyFill="1" applyBorder="1" applyAlignment="1">
      <alignment horizontal="center" vertical="center" wrapText="1"/>
    </xf>
    <xf numFmtId="0" fontId="8" fillId="7" borderId="47" xfId="4" applyFont="1" applyFill="1" applyBorder="1" applyAlignment="1">
      <alignment horizontal="center" vertical="center" wrapText="1"/>
    </xf>
    <xf numFmtId="0" fontId="8" fillId="7" borderId="49" xfId="4" applyFont="1" applyFill="1" applyBorder="1" applyAlignment="1">
      <alignment horizontal="center" vertical="center" wrapText="1"/>
    </xf>
    <xf numFmtId="0" fontId="8" fillId="7" borderId="60" xfId="4" applyFont="1" applyFill="1" applyBorder="1" applyAlignment="1">
      <alignment horizontal="center" vertical="center" wrapText="1"/>
    </xf>
    <xf numFmtId="0" fontId="8" fillId="7" borderId="47" xfId="4" applyFont="1" applyFill="1" applyBorder="1" applyAlignment="1">
      <alignment horizontal="center" vertical="center"/>
    </xf>
    <xf numFmtId="0" fontId="8" fillId="7" borderId="49" xfId="4" applyFont="1" applyFill="1" applyBorder="1" applyAlignment="1">
      <alignment horizontal="center" vertical="center"/>
    </xf>
    <xf numFmtId="0" fontId="8" fillId="7" borderId="60" xfId="4" applyFont="1" applyFill="1" applyBorder="1" applyAlignment="1">
      <alignment horizontal="center" vertical="center"/>
    </xf>
    <xf numFmtId="0" fontId="8" fillId="7" borderId="28" xfId="4" applyFont="1" applyFill="1" applyBorder="1" applyAlignment="1">
      <alignment horizontal="center" vertical="center"/>
    </xf>
    <xf numFmtId="0" fontId="8" fillId="7" borderId="0" xfId="4" applyFont="1" applyFill="1" applyAlignment="1">
      <alignment horizontal="center" vertical="center"/>
    </xf>
    <xf numFmtId="0" fontId="8" fillId="7" borderId="59" xfId="4" applyFont="1" applyFill="1" applyBorder="1" applyAlignment="1">
      <alignment horizontal="center" vertical="center"/>
    </xf>
    <xf numFmtId="0" fontId="10" fillId="7" borderId="47" xfId="4" applyFont="1" applyFill="1" applyBorder="1" applyAlignment="1">
      <alignment horizontal="center" vertical="center"/>
    </xf>
    <xf numFmtId="0" fontId="10" fillId="7" borderId="49" xfId="4" applyFont="1" applyFill="1" applyBorder="1" applyAlignment="1">
      <alignment horizontal="center" vertical="center"/>
    </xf>
    <xf numFmtId="0" fontId="10" fillId="7" borderId="66" xfId="4" applyFont="1" applyFill="1" applyBorder="1" applyAlignment="1">
      <alignment horizontal="center" vertical="center"/>
    </xf>
    <xf numFmtId="164" fontId="9" fillId="0" borderId="54" xfId="5" applyNumberFormat="1" applyFont="1" applyBorder="1" applyAlignment="1">
      <alignment horizontal="center" vertical="center"/>
    </xf>
    <xf numFmtId="164" fontId="9" fillId="0" borderId="51" xfId="5" applyNumberFormat="1" applyFont="1" applyBorder="1" applyAlignment="1">
      <alignment horizontal="center" vertical="center"/>
    </xf>
    <xf numFmtId="164" fontId="9" fillId="0" borderId="16" xfId="5" applyNumberFormat="1" applyFont="1" applyBorder="1" applyAlignment="1">
      <alignment horizontal="center" vertical="center"/>
    </xf>
    <xf numFmtId="164" fontId="9" fillId="0" borderId="57" xfId="5" applyNumberFormat="1" applyFont="1" applyBorder="1" applyAlignment="1">
      <alignment horizontal="center" vertical="center"/>
    </xf>
    <xf numFmtId="164" fontId="9" fillId="0" borderId="17" xfId="5" applyNumberFormat="1" applyFont="1" applyBorder="1" applyAlignment="1">
      <alignment horizontal="center" vertical="center"/>
    </xf>
    <xf numFmtId="0" fontId="14" fillId="7" borderId="48" xfId="4" applyFont="1" applyFill="1" applyBorder="1" applyAlignment="1">
      <alignment horizontal="center" vertical="center"/>
    </xf>
    <xf numFmtId="0" fontId="14" fillId="7" borderId="45" xfId="4" applyFont="1" applyFill="1" applyBorder="1" applyAlignment="1">
      <alignment horizontal="center" vertical="center"/>
    </xf>
    <xf numFmtId="0" fontId="14" fillId="9" borderId="51" xfId="4" applyFont="1" applyFill="1" applyBorder="1" applyAlignment="1">
      <alignment horizontal="center" vertical="center"/>
    </xf>
    <xf numFmtId="0" fontId="14" fillId="9" borderId="16" xfId="4" applyFont="1" applyFill="1" applyBorder="1" applyAlignment="1">
      <alignment horizontal="center" vertical="center"/>
    </xf>
    <xf numFmtId="0" fontId="14" fillId="9" borderId="57" xfId="4" applyFont="1" applyFill="1" applyBorder="1" applyAlignment="1">
      <alignment horizontal="center" vertical="center"/>
    </xf>
    <xf numFmtId="164" fontId="12" fillId="0" borderId="52" xfId="5" applyNumberFormat="1" applyFont="1" applyBorder="1" applyAlignment="1">
      <alignment horizontal="center" vertical="center"/>
    </xf>
    <xf numFmtId="164" fontId="12" fillId="0" borderId="22" xfId="5" applyNumberFormat="1" applyFont="1" applyBorder="1" applyAlignment="1">
      <alignment horizontal="center" vertical="center"/>
    </xf>
    <xf numFmtId="164" fontId="12" fillId="0" borderId="55" xfId="5" applyNumberFormat="1" applyFont="1" applyBorder="1" applyAlignment="1">
      <alignment horizontal="center" vertical="center"/>
    </xf>
    <xf numFmtId="164" fontId="9" fillId="0" borderId="38" xfId="5" applyNumberFormat="1" applyFont="1" applyBorder="1" applyAlignment="1">
      <alignment horizontal="center" vertical="center"/>
    </xf>
    <xf numFmtId="164" fontId="9" fillId="0" borderId="32" xfId="5" applyNumberFormat="1" applyFont="1" applyBorder="1" applyAlignment="1">
      <alignment horizontal="center" vertical="center"/>
    </xf>
    <xf numFmtId="164" fontId="9" fillId="0" borderId="40" xfId="5" applyNumberFormat="1" applyFont="1" applyBorder="1" applyAlignment="1">
      <alignment horizontal="center" vertical="center"/>
    </xf>
    <xf numFmtId="164" fontId="9" fillId="0" borderId="44" xfId="5" applyNumberFormat="1" applyFont="1" applyBorder="1" applyAlignment="1">
      <alignment horizontal="center" vertical="center"/>
    </xf>
    <xf numFmtId="164" fontId="9" fillId="0" borderId="13" xfId="5" applyNumberFormat="1" applyFont="1" applyBorder="1" applyAlignment="1">
      <alignment horizontal="center" vertical="center"/>
    </xf>
    <xf numFmtId="164" fontId="9" fillId="0" borderId="58" xfId="5" applyNumberFormat="1" applyFont="1" applyBorder="1" applyAlignment="1">
      <alignment horizontal="center" vertical="center"/>
    </xf>
    <xf numFmtId="49" fontId="8" fillId="7" borderId="27" xfId="4" applyNumberFormat="1" applyFont="1" applyFill="1" applyBorder="1" applyAlignment="1">
      <alignment horizontal="center" vertical="center" wrapText="1"/>
    </xf>
    <xf numFmtId="49" fontId="8" fillId="7" borderId="19" xfId="4" applyNumberFormat="1" applyFont="1" applyFill="1" applyBorder="1" applyAlignment="1">
      <alignment horizontal="center" vertical="center" wrapText="1"/>
    </xf>
    <xf numFmtId="49" fontId="8" fillId="7" borderId="20" xfId="4" applyNumberFormat="1" applyFont="1" applyFill="1" applyBorder="1" applyAlignment="1">
      <alignment horizontal="center" vertical="center" wrapText="1"/>
    </xf>
    <xf numFmtId="49" fontId="8" fillId="7" borderId="44" xfId="4" applyNumberFormat="1" applyFont="1" applyFill="1" applyBorder="1" applyAlignment="1">
      <alignment horizontal="center" vertical="center" wrapText="1"/>
    </xf>
    <xf numFmtId="49" fontId="8" fillId="7" borderId="13" xfId="4" applyNumberFormat="1" applyFont="1" applyFill="1" applyBorder="1" applyAlignment="1">
      <alignment horizontal="center" vertical="center" wrapText="1"/>
    </xf>
    <xf numFmtId="49" fontId="8" fillId="7" borderId="14" xfId="4" applyNumberFormat="1" applyFont="1" applyFill="1" applyBorder="1" applyAlignment="1">
      <alignment horizontal="center" vertical="center" wrapText="1"/>
    </xf>
    <xf numFmtId="169" fontId="10" fillId="5" borderId="51" xfId="1" applyNumberFormat="1" applyFont="1" applyFill="1" applyBorder="1" applyAlignment="1">
      <alignment horizontal="center" vertical="center"/>
    </xf>
    <xf numFmtId="169" fontId="10" fillId="5" borderId="16" xfId="1" applyNumberFormat="1" applyFont="1" applyFill="1" applyBorder="1" applyAlignment="1">
      <alignment horizontal="center" vertical="center"/>
    </xf>
    <xf numFmtId="169" fontId="10" fillId="5" borderId="57" xfId="1" applyNumberFormat="1" applyFont="1" applyFill="1" applyBorder="1" applyAlignment="1">
      <alignment horizontal="center" vertical="center"/>
    </xf>
    <xf numFmtId="0" fontId="4" fillId="0" borderId="51" xfId="4" applyBorder="1" applyAlignment="1">
      <alignment horizontal="right" vertical="center"/>
    </xf>
    <xf numFmtId="0" fontId="4" fillId="0" borderId="16" xfId="4" applyBorder="1" applyAlignment="1">
      <alignment horizontal="right" vertical="center"/>
    </xf>
    <xf numFmtId="0" fontId="4" fillId="0" borderId="57" xfId="4" applyBorder="1" applyAlignment="1">
      <alignment horizontal="right" vertical="center"/>
    </xf>
    <xf numFmtId="0" fontId="4" fillId="0" borderId="15" xfId="4" applyBorder="1" applyAlignment="1">
      <alignment horizontal="right" vertical="center"/>
    </xf>
    <xf numFmtId="0" fontId="11" fillId="0" borderId="51" xfId="4" applyFont="1" applyBorder="1" applyAlignment="1">
      <alignment horizontal="center" vertical="top" wrapText="1"/>
    </xf>
    <xf numFmtId="0" fontId="11" fillId="0" borderId="16" xfId="4" applyFont="1" applyBorder="1" applyAlignment="1">
      <alignment horizontal="center" vertical="top" wrapText="1"/>
    </xf>
    <xf numFmtId="0" fontId="11" fillId="0" borderId="57" xfId="4" applyFont="1" applyBorder="1" applyAlignment="1">
      <alignment horizontal="center" vertical="top" wrapText="1"/>
    </xf>
    <xf numFmtId="164" fontId="12" fillId="0" borderId="51" xfId="5" applyNumberFormat="1" applyFont="1" applyBorder="1" applyAlignment="1">
      <alignment horizontal="center" vertical="center"/>
    </xf>
    <xf numFmtId="164" fontId="12" fillId="0" borderId="16" xfId="5" applyNumberFormat="1" applyFont="1" applyBorder="1" applyAlignment="1">
      <alignment horizontal="center" vertical="center"/>
    </xf>
    <xf numFmtId="164" fontId="12" fillId="0" borderId="17" xfId="5" applyNumberFormat="1" applyFont="1" applyBorder="1" applyAlignment="1">
      <alignment horizontal="center" vertical="center"/>
    </xf>
    <xf numFmtId="164" fontId="9" fillId="0" borderId="51" xfId="5" quotePrefix="1" applyNumberFormat="1" applyFont="1" applyBorder="1" applyAlignment="1">
      <alignment horizontal="center" vertical="center"/>
    </xf>
    <xf numFmtId="164" fontId="12" fillId="0" borderId="57" xfId="5" applyNumberFormat="1" applyFont="1" applyBorder="1" applyAlignment="1">
      <alignment horizontal="center" vertical="center"/>
    </xf>
    <xf numFmtId="164" fontId="9" fillId="5" borderId="51" xfId="5" applyNumberFormat="1" applyFont="1" applyFill="1" applyBorder="1" applyAlignment="1">
      <alignment horizontal="center" vertical="center"/>
    </xf>
    <xf numFmtId="164" fontId="9" fillId="5" borderId="16" xfId="5" applyNumberFormat="1" applyFont="1" applyFill="1" applyBorder="1" applyAlignment="1">
      <alignment horizontal="center" vertical="center"/>
    </xf>
    <xf numFmtId="164" fontId="9" fillId="5" borderId="17" xfId="5" applyNumberFormat="1" applyFont="1" applyFill="1" applyBorder="1" applyAlignment="1">
      <alignment horizontal="center" vertical="center"/>
    </xf>
    <xf numFmtId="0" fontId="11" fillId="7" borderId="18" xfId="4" applyFont="1" applyFill="1" applyBorder="1" applyAlignment="1">
      <alignment horizontal="center" vertical="center"/>
    </xf>
    <xf numFmtId="0" fontId="11" fillId="7" borderId="19" xfId="4" applyFont="1" applyFill="1" applyBorder="1" applyAlignment="1">
      <alignment horizontal="center" vertical="center"/>
    </xf>
    <xf numFmtId="0" fontId="11" fillId="7" borderId="20" xfId="4" applyFont="1" applyFill="1" applyBorder="1" applyAlignment="1">
      <alignment horizontal="center" vertical="center"/>
    </xf>
    <xf numFmtId="164" fontId="12" fillId="0" borderId="23" xfId="5" applyNumberFormat="1" applyFont="1" applyBorder="1" applyAlignment="1">
      <alignment horizontal="center" vertical="center"/>
    </xf>
    <xf numFmtId="0" fontId="14" fillId="0" borderId="47" xfId="4" applyFont="1" applyBorder="1" applyAlignment="1">
      <alignment horizontal="center" vertical="center" wrapText="1"/>
    </xf>
    <xf numFmtId="0" fontId="14" fillId="0" borderId="49" xfId="4" applyFont="1" applyBorder="1" applyAlignment="1">
      <alignment horizontal="center" vertical="center" wrapText="1"/>
    </xf>
    <xf numFmtId="0" fontId="14" fillId="0" borderId="60" xfId="4" applyFont="1" applyBorder="1" applyAlignment="1">
      <alignment horizontal="center" vertical="center" wrapText="1"/>
    </xf>
    <xf numFmtId="0" fontId="14" fillId="0" borderId="28" xfId="4" applyFont="1" applyBorder="1" applyAlignment="1">
      <alignment horizontal="center" vertical="center" wrapText="1"/>
    </xf>
    <xf numFmtId="0" fontId="14" fillId="0" borderId="0" xfId="4" applyFont="1" applyAlignment="1">
      <alignment horizontal="center" vertical="center" wrapText="1"/>
    </xf>
    <xf numFmtId="0" fontId="14" fillId="0" borderId="59" xfId="4" applyFont="1" applyBorder="1" applyAlignment="1">
      <alignment horizontal="center" vertical="center" wrapText="1"/>
    </xf>
    <xf numFmtId="0" fontId="14" fillId="0" borderId="44" xfId="4" applyFont="1" applyBorder="1" applyAlignment="1">
      <alignment horizontal="center" vertical="center" wrapText="1"/>
    </xf>
    <xf numFmtId="0" fontId="14" fillId="0" borderId="13" xfId="4" applyFont="1" applyBorder="1" applyAlignment="1">
      <alignment horizontal="center" vertical="center" wrapText="1"/>
    </xf>
    <xf numFmtId="0" fontId="14" fillId="0" borderId="58" xfId="4" applyFont="1" applyBorder="1" applyAlignment="1">
      <alignment horizontal="center" vertical="center" wrapText="1"/>
    </xf>
    <xf numFmtId="164" fontId="15" fillId="5" borderId="51" xfId="5" applyNumberFormat="1" applyFont="1" applyFill="1" applyBorder="1" applyAlignment="1">
      <alignment horizontal="center" vertical="center"/>
    </xf>
    <xf numFmtId="164" fontId="15" fillId="5" borderId="16" xfId="5" applyNumberFormat="1" applyFont="1" applyFill="1" applyBorder="1" applyAlignment="1">
      <alignment horizontal="center" vertical="center"/>
    </xf>
    <xf numFmtId="164" fontId="15" fillId="5" borderId="17" xfId="5" applyNumberFormat="1" applyFont="1" applyFill="1" applyBorder="1" applyAlignment="1">
      <alignment horizontal="center" vertical="center"/>
    </xf>
    <xf numFmtId="164" fontId="9" fillId="0" borderId="31" xfId="5" applyNumberFormat="1" applyFont="1" applyBorder="1" applyAlignment="1">
      <alignment horizontal="center" vertical="center"/>
    </xf>
    <xf numFmtId="0" fontId="8" fillId="0" borderId="43" xfId="4" applyFont="1" applyBorder="1" applyAlignment="1">
      <alignment horizontal="center" vertical="center"/>
    </xf>
    <xf numFmtId="49" fontId="9" fillId="0" borderId="16" xfId="4" applyNumberFormat="1" applyFont="1" applyBorder="1" applyAlignment="1">
      <alignment horizontal="center" vertical="center"/>
    </xf>
    <xf numFmtId="0" fontId="9" fillId="0" borderId="16" xfId="4" applyFont="1" applyBorder="1" applyAlignment="1">
      <alignment horizontal="center" vertical="center"/>
    </xf>
    <xf numFmtId="0" fontId="8" fillId="0" borderId="18" xfId="4" applyFont="1" applyBorder="1" applyAlignment="1">
      <alignment horizontal="center" vertical="center"/>
    </xf>
    <xf numFmtId="0" fontId="8" fillId="0" borderId="19" xfId="4" applyFont="1" applyBorder="1" applyAlignment="1">
      <alignment horizontal="center" vertical="center"/>
    </xf>
    <xf numFmtId="0" fontId="8" fillId="0" borderId="20" xfId="4" applyFont="1" applyBorder="1" applyAlignment="1">
      <alignment horizontal="center" vertical="center"/>
    </xf>
    <xf numFmtId="49" fontId="9" fillId="0" borderId="15" xfId="4" applyNumberFormat="1" applyFont="1" applyBorder="1" applyAlignment="1">
      <alignment horizontal="center" vertical="center"/>
    </xf>
    <xf numFmtId="0" fontId="9" fillId="0" borderId="17" xfId="4" applyFont="1" applyBorder="1" applyAlignment="1">
      <alignment horizontal="center" vertical="center"/>
    </xf>
    <xf numFmtId="164" fontId="9" fillId="0" borderId="10" xfId="5" applyNumberFormat="1" applyFont="1" applyBorder="1" applyAlignment="1">
      <alignment horizontal="center" vertical="center"/>
    </xf>
    <xf numFmtId="164" fontId="9" fillId="0" borderId="11" xfId="5" applyNumberFormat="1" applyFont="1" applyBorder="1" applyAlignment="1">
      <alignment horizontal="center" vertical="center"/>
    </xf>
    <xf numFmtId="164" fontId="9" fillId="0" borderId="22" xfId="5" applyNumberFormat="1" applyFont="1" applyBorder="1" applyAlignment="1">
      <alignment horizontal="center" vertical="center"/>
    </xf>
    <xf numFmtId="164" fontId="9" fillId="0" borderId="23" xfId="5" applyNumberFormat="1" applyFont="1" applyBorder="1" applyAlignment="1">
      <alignment horizontal="center" vertical="center"/>
    </xf>
    <xf numFmtId="164" fontId="9" fillId="0" borderId="52" xfId="5" applyNumberFormat="1" applyFont="1" applyBorder="1" applyAlignment="1">
      <alignment horizontal="center" vertical="center"/>
    </xf>
    <xf numFmtId="164" fontId="9" fillId="0" borderId="42" xfId="5" applyNumberFormat="1" applyFont="1" applyBorder="1" applyAlignment="1">
      <alignment horizontal="center" vertical="center"/>
    </xf>
    <xf numFmtId="0" fontId="11" fillId="0" borderId="21" xfId="4" applyFont="1" applyBorder="1" applyAlignment="1">
      <alignment horizontal="center" vertical="center" wrapText="1"/>
    </xf>
    <xf numFmtId="0" fontId="11" fillId="0" borderId="22" xfId="4" applyFont="1" applyBorder="1" applyAlignment="1">
      <alignment horizontal="center" vertical="center" wrapText="1"/>
    </xf>
    <xf numFmtId="0" fontId="11" fillId="0" borderId="23" xfId="4" applyFont="1" applyBorder="1" applyAlignment="1">
      <alignment horizontal="center" vertical="center" wrapText="1"/>
    </xf>
    <xf numFmtId="0" fontId="11" fillId="0" borderId="21" xfId="4" applyFont="1" applyBorder="1" applyAlignment="1">
      <alignment horizontal="center" vertical="center"/>
    </xf>
    <xf numFmtId="0" fontId="11" fillId="0" borderId="22" xfId="4" applyFont="1" applyBorder="1" applyAlignment="1">
      <alignment horizontal="center" vertical="center"/>
    </xf>
    <xf numFmtId="0" fontId="11" fillId="0" borderId="23" xfId="4" applyFont="1" applyBorder="1" applyAlignment="1">
      <alignment horizontal="center" vertical="center"/>
    </xf>
    <xf numFmtId="49" fontId="11" fillId="8" borderId="21" xfId="4" applyNumberFormat="1" applyFont="1" applyFill="1" applyBorder="1" applyAlignment="1">
      <alignment horizontal="center" vertical="center"/>
    </xf>
    <xf numFmtId="49" fontId="11" fillId="8" borderId="22" xfId="4" applyNumberFormat="1" applyFont="1" applyFill="1" applyBorder="1" applyAlignment="1">
      <alignment horizontal="center" vertical="center"/>
    </xf>
    <xf numFmtId="49" fontId="10" fillId="7" borderId="47" xfId="4" applyNumberFormat="1" applyFont="1" applyFill="1" applyBorder="1" applyAlignment="1">
      <alignment horizontal="center" vertical="center" wrapText="1"/>
    </xf>
    <xf numFmtId="49" fontId="10" fillId="7" borderId="49" xfId="4" applyNumberFormat="1" applyFont="1" applyFill="1" applyBorder="1" applyAlignment="1">
      <alignment horizontal="center" vertical="center" wrapText="1"/>
    </xf>
    <xf numFmtId="49" fontId="10" fillId="7" borderId="66" xfId="4" applyNumberFormat="1" applyFont="1" applyFill="1" applyBorder="1" applyAlignment="1">
      <alignment horizontal="center" vertical="center" wrapText="1"/>
    </xf>
    <xf numFmtId="49" fontId="10" fillId="7" borderId="28" xfId="4" applyNumberFormat="1" applyFont="1" applyFill="1" applyBorder="1" applyAlignment="1">
      <alignment horizontal="center" vertical="center" wrapText="1"/>
    </xf>
    <xf numFmtId="49" fontId="10" fillId="7" borderId="0" xfId="4" applyNumberFormat="1" applyFont="1" applyFill="1" applyAlignment="1">
      <alignment horizontal="center" vertical="center" wrapText="1"/>
    </xf>
    <xf numFmtId="49" fontId="10" fillId="7" borderId="2" xfId="4" applyNumberFormat="1" applyFont="1" applyFill="1" applyBorder="1" applyAlignment="1">
      <alignment horizontal="center" vertical="center" wrapText="1"/>
    </xf>
    <xf numFmtId="49" fontId="10" fillId="7" borderId="30" xfId="4" applyNumberFormat="1" applyFont="1" applyFill="1" applyBorder="1" applyAlignment="1">
      <alignment horizontal="center" vertical="center" wrapText="1"/>
    </xf>
    <xf numFmtId="49" fontId="10" fillId="7" borderId="4" xfId="4" applyNumberFormat="1" applyFont="1" applyFill="1" applyBorder="1" applyAlignment="1">
      <alignment horizontal="center" vertical="center" wrapText="1"/>
    </xf>
    <xf numFmtId="49" fontId="10" fillId="7" borderId="5" xfId="4" applyNumberFormat="1" applyFont="1" applyFill="1" applyBorder="1" applyAlignment="1">
      <alignment horizontal="center" vertical="center" wrapText="1"/>
    </xf>
    <xf numFmtId="164" fontId="9" fillId="0" borderId="43" xfId="5" applyNumberFormat="1" applyFont="1" applyBorder="1" applyAlignment="1">
      <alignment horizontal="center" vertical="center"/>
    </xf>
    <xf numFmtId="49" fontId="8" fillId="7" borderId="47" xfId="4" applyNumberFormat="1" applyFont="1" applyFill="1" applyBorder="1" applyAlignment="1">
      <alignment horizontal="center" vertical="center" wrapText="1"/>
    </xf>
    <xf numFmtId="49" fontId="8" fillId="7" borderId="49" xfId="4" applyNumberFormat="1" applyFont="1" applyFill="1" applyBorder="1" applyAlignment="1">
      <alignment horizontal="center" vertical="center" wrapText="1"/>
    </xf>
    <xf numFmtId="49" fontId="8" fillId="7" borderId="60" xfId="4" applyNumberFormat="1" applyFont="1" applyFill="1" applyBorder="1" applyAlignment="1">
      <alignment horizontal="center" vertical="center" wrapText="1"/>
    </xf>
    <xf numFmtId="49" fontId="8" fillId="7" borderId="58" xfId="4" applyNumberFormat="1" applyFont="1" applyFill="1" applyBorder="1" applyAlignment="1">
      <alignment horizontal="center" vertical="center" wrapText="1"/>
    </xf>
    <xf numFmtId="0" fontId="11" fillId="8" borderId="21" xfId="4" applyFont="1" applyFill="1" applyBorder="1" applyAlignment="1">
      <alignment horizontal="center" vertical="center"/>
    </xf>
    <xf numFmtId="0" fontId="11" fillId="8" borderId="22" xfId="4" applyFont="1" applyFill="1" applyBorder="1" applyAlignment="1">
      <alignment horizontal="center" vertical="center"/>
    </xf>
    <xf numFmtId="164" fontId="9" fillId="0" borderId="45" xfId="5" applyNumberFormat="1" applyFont="1" applyBorder="1" applyAlignment="1">
      <alignment horizontal="center" vertical="center"/>
    </xf>
    <xf numFmtId="164" fontId="9" fillId="0" borderId="27" xfId="5" applyNumberFormat="1" applyFont="1" applyBorder="1" applyAlignment="1">
      <alignment horizontal="center" vertical="center"/>
    </xf>
    <xf numFmtId="164" fontId="9" fillId="0" borderId="19" xfId="5" applyNumberFormat="1" applyFont="1" applyBorder="1" applyAlignment="1">
      <alignment horizontal="center" vertical="center"/>
    </xf>
    <xf numFmtId="164" fontId="9" fillId="0" borderId="70" xfId="5" applyNumberFormat="1" applyFont="1" applyBorder="1" applyAlignment="1">
      <alignment horizontal="center" vertical="center"/>
    </xf>
    <xf numFmtId="164" fontId="12" fillId="0" borderId="54" xfId="5" applyNumberFormat="1" applyFont="1" applyBorder="1" applyAlignment="1">
      <alignment horizontal="center" vertical="center"/>
    </xf>
    <xf numFmtId="164" fontId="12" fillId="0" borderId="67" xfId="5" applyNumberFormat="1" applyFont="1" applyBorder="1" applyAlignment="1">
      <alignment horizontal="center" vertical="center"/>
    </xf>
    <xf numFmtId="0" fontId="14" fillId="0" borderId="50" xfId="4" applyFont="1" applyBorder="1" applyAlignment="1">
      <alignment horizontal="center" vertical="center" wrapText="1"/>
    </xf>
    <xf numFmtId="0" fontId="14" fillId="0" borderId="1" xfId="4" applyFont="1" applyBorder="1" applyAlignment="1">
      <alignment horizontal="center" vertical="center" wrapText="1"/>
    </xf>
    <xf numFmtId="0" fontId="14" fillId="0" borderId="12" xfId="4" applyFont="1" applyBorder="1" applyAlignment="1">
      <alignment horizontal="center" vertical="center" wrapText="1"/>
    </xf>
    <xf numFmtId="2" fontId="8" fillId="0" borderId="16" xfId="4" applyNumberFormat="1" applyFont="1" applyBorder="1" applyAlignment="1">
      <alignment horizontal="center" vertical="center" wrapText="1"/>
    </xf>
    <xf numFmtId="0" fontId="4" fillId="0" borderId="15" xfId="4" applyBorder="1" applyAlignment="1">
      <alignment horizontal="right" vertical="center" wrapText="1"/>
    </xf>
    <xf numFmtId="0" fontId="8" fillId="0" borderId="16" xfId="4" applyFont="1" applyBorder="1" applyAlignment="1">
      <alignment vertical="top"/>
    </xf>
    <xf numFmtId="0" fontId="8" fillId="0" borderId="57" xfId="4" applyFont="1" applyBorder="1" applyAlignment="1">
      <alignment vertical="top"/>
    </xf>
    <xf numFmtId="0" fontId="8" fillId="0" borderId="17" xfId="4" applyFont="1" applyBorder="1" applyAlignment="1">
      <alignment vertical="top"/>
    </xf>
    <xf numFmtId="0" fontId="11" fillId="0" borderId="15" xfId="4" applyFont="1" applyBorder="1" applyAlignment="1">
      <alignment horizontal="center" vertical="top" wrapText="1"/>
    </xf>
    <xf numFmtId="164" fontId="9" fillId="0" borderId="51" xfId="5" applyNumberFormat="1" applyFont="1" applyFill="1" applyBorder="1" applyAlignment="1">
      <alignment horizontal="center" vertical="center"/>
    </xf>
    <xf numFmtId="164" fontId="9" fillId="0" borderId="16" xfId="5" applyNumberFormat="1" applyFont="1" applyFill="1" applyBorder="1" applyAlignment="1">
      <alignment horizontal="center" vertical="center"/>
    </xf>
    <xf numFmtId="164" fontId="9" fillId="0" borderId="17" xfId="5" applyNumberFormat="1" applyFont="1" applyFill="1" applyBorder="1" applyAlignment="1">
      <alignment horizontal="center" vertical="center"/>
    </xf>
    <xf numFmtId="0" fontId="4" fillId="7" borderId="19" xfId="4" applyFill="1" applyBorder="1" applyAlignment="1">
      <alignment horizontal="left" vertical="center" wrapText="1"/>
    </xf>
    <xf numFmtId="0" fontId="4" fillId="7" borderId="3" xfId="4" applyFill="1" applyBorder="1" applyAlignment="1">
      <alignment horizontal="left" vertical="center" wrapText="1"/>
    </xf>
    <xf numFmtId="0" fontId="4" fillId="7" borderId="4" xfId="4" applyFill="1" applyBorder="1" applyAlignment="1">
      <alignment horizontal="left" vertical="center" wrapText="1"/>
    </xf>
    <xf numFmtId="164" fontId="15" fillId="9" borderId="13" xfId="5" applyNumberFormat="1" applyFont="1" applyFill="1" applyBorder="1" applyAlignment="1">
      <alignment horizontal="center" vertical="center"/>
    </xf>
    <xf numFmtId="164" fontId="15" fillId="9" borderId="14" xfId="5" applyNumberFormat="1" applyFont="1" applyFill="1" applyBorder="1" applyAlignment="1">
      <alignment horizontal="center" vertical="center"/>
    </xf>
    <xf numFmtId="0" fontId="10" fillId="9" borderId="54" xfId="4" applyFont="1" applyFill="1" applyBorder="1" applyAlignment="1">
      <alignment horizontal="center" vertical="center"/>
    </xf>
    <xf numFmtId="164" fontId="15" fillId="9" borderId="44" xfId="5" quotePrefix="1" applyNumberFormat="1" applyFont="1" applyFill="1" applyBorder="1" applyAlignment="1">
      <alignment horizontal="center" vertical="center"/>
    </xf>
    <xf numFmtId="164" fontId="15" fillId="9" borderId="13" xfId="5" quotePrefix="1" applyNumberFormat="1" applyFont="1" applyFill="1" applyBorder="1" applyAlignment="1">
      <alignment horizontal="center" vertical="center"/>
    </xf>
    <xf numFmtId="164" fontId="15" fillId="9" borderId="58" xfId="5" quotePrefix="1" applyNumberFormat="1" applyFont="1" applyFill="1" applyBorder="1" applyAlignment="1">
      <alignment horizontal="center" vertical="center"/>
    </xf>
    <xf numFmtId="164" fontId="12" fillId="0" borderId="38" xfId="5" applyNumberFormat="1" applyFont="1" applyBorder="1" applyAlignment="1">
      <alignment horizontal="center" vertical="center"/>
    </xf>
    <xf numFmtId="164" fontId="12" fillId="0" borderId="32" xfId="5" applyNumberFormat="1" applyFont="1" applyBorder="1" applyAlignment="1">
      <alignment horizontal="center" vertical="center"/>
    </xf>
    <xf numFmtId="164" fontId="12" fillId="0" borderId="31" xfId="5" applyNumberFormat="1" applyFont="1" applyBorder="1" applyAlignment="1">
      <alignment horizontal="center" vertical="center"/>
    </xf>
    <xf numFmtId="164" fontId="9" fillId="0" borderId="14" xfId="5" applyNumberFormat="1" applyFont="1" applyBorder="1" applyAlignment="1">
      <alignment horizontal="center" vertical="center"/>
    </xf>
    <xf numFmtId="164" fontId="9" fillId="0" borderId="39" xfId="5" applyNumberFormat="1" applyFont="1" applyBorder="1" applyAlignment="1">
      <alignment horizontal="center" vertical="center"/>
    </xf>
    <xf numFmtId="166" fontId="12" fillId="0" borderId="52" xfId="5" applyNumberFormat="1" applyFont="1" applyBorder="1" applyAlignment="1">
      <alignment horizontal="center" vertical="center"/>
    </xf>
    <xf numFmtId="166" fontId="12" fillId="0" borderId="22" xfId="5" applyNumberFormat="1" applyFont="1" applyBorder="1" applyAlignment="1">
      <alignment horizontal="center" vertical="center"/>
    </xf>
    <xf numFmtId="166" fontId="12" fillId="0" borderId="23" xfId="5" applyNumberFormat="1" applyFont="1" applyBorder="1" applyAlignment="1">
      <alignment horizontal="center" vertical="center"/>
    </xf>
    <xf numFmtId="164" fontId="12" fillId="0" borderId="21" xfId="5" applyNumberFormat="1" applyFont="1" applyBorder="1" applyAlignment="1">
      <alignment horizontal="center" vertical="center"/>
    </xf>
    <xf numFmtId="164" fontId="9" fillId="0" borderId="38" xfId="5" applyNumberFormat="1" applyFont="1" applyFill="1" applyBorder="1" applyAlignment="1">
      <alignment horizontal="center" vertical="center"/>
    </xf>
    <xf numFmtId="164" fontId="9" fillId="0" borderId="32" xfId="5" applyNumberFormat="1" applyFont="1" applyFill="1" applyBorder="1" applyAlignment="1">
      <alignment horizontal="center" vertical="center"/>
    </xf>
    <xf numFmtId="164" fontId="9" fillId="0" borderId="31" xfId="5" applyNumberFormat="1" applyFont="1" applyFill="1" applyBorder="1" applyAlignment="1">
      <alignment horizontal="center" vertical="center"/>
    </xf>
    <xf numFmtId="164" fontId="9" fillId="0" borderId="28" xfId="5" applyNumberFormat="1" applyFont="1" applyBorder="1" applyAlignment="1">
      <alignment horizontal="center" vertical="center"/>
    </xf>
    <xf numFmtId="164" fontId="9" fillId="0" borderId="0" xfId="5" applyNumberFormat="1" applyFont="1" applyBorder="1" applyAlignment="1">
      <alignment horizontal="center" vertical="center"/>
    </xf>
    <xf numFmtId="164" fontId="9" fillId="0" borderId="59" xfId="5" applyNumberFormat="1" applyFont="1" applyBorder="1" applyAlignment="1">
      <alignment horizontal="center" vertical="center"/>
    </xf>
    <xf numFmtId="49" fontId="10" fillId="7" borderId="27" xfId="4" applyNumberFormat="1" applyFont="1" applyFill="1" applyBorder="1" applyAlignment="1">
      <alignment horizontal="center" vertical="center" wrapText="1"/>
    </xf>
    <xf numFmtId="49" fontId="10" fillId="7" borderId="19" xfId="4" applyNumberFormat="1" applyFont="1" applyFill="1" applyBorder="1" applyAlignment="1">
      <alignment horizontal="center" vertical="center" wrapText="1"/>
    </xf>
    <xf numFmtId="49" fontId="10" fillId="7" borderId="20" xfId="4" applyNumberFormat="1" applyFont="1" applyFill="1" applyBorder="1" applyAlignment="1">
      <alignment horizontal="center" vertical="center" wrapText="1"/>
    </xf>
    <xf numFmtId="49" fontId="10" fillId="7" borderId="44" xfId="4" applyNumberFormat="1" applyFont="1" applyFill="1" applyBorder="1" applyAlignment="1">
      <alignment horizontal="center" vertical="center" wrapText="1"/>
    </xf>
    <xf numFmtId="49" fontId="10" fillId="7" borderId="13" xfId="4" applyNumberFormat="1" applyFont="1" applyFill="1" applyBorder="1" applyAlignment="1">
      <alignment horizontal="center" vertical="center" wrapText="1"/>
    </xf>
    <xf numFmtId="49" fontId="10" fillId="7" borderId="14" xfId="4" applyNumberFormat="1" applyFont="1" applyFill="1" applyBorder="1" applyAlignment="1">
      <alignment horizontal="center" vertical="center" wrapText="1"/>
    </xf>
    <xf numFmtId="43" fontId="39" fillId="2" borderId="47" xfId="1" applyFont="1" applyFill="1" applyBorder="1" applyAlignment="1">
      <alignment horizontal="center" vertical="center" wrapText="1"/>
    </xf>
    <xf numFmtId="43" fontId="39" fillId="2" borderId="28" xfId="1" applyFont="1" applyFill="1" applyBorder="1" applyAlignment="1">
      <alignment horizontal="center" vertical="center" wrapText="1"/>
    </xf>
    <xf numFmtId="0" fontId="32" fillId="2" borderId="129" xfId="0" applyFont="1" applyFill="1" applyBorder="1" applyAlignment="1">
      <alignment horizontal="center" vertical="top" wrapText="1"/>
    </xf>
    <xf numFmtId="0" fontId="32" fillId="2" borderId="139" xfId="0" applyFont="1" applyFill="1" applyBorder="1" applyAlignment="1">
      <alignment horizontal="center" vertical="top" wrapText="1"/>
    </xf>
    <xf numFmtId="10" fontId="32" fillId="2" borderId="54" xfId="2" applyNumberFormat="1" applyFont="1" applyFill="1" applyBorder="1" applyAlignment="1">
      <alignment horizontal="center" vertical="top" wrapText="1"/>
    </xf>
    <xf numFmtId="10" fontId="32" fillId="2" borderId="49" xfId="2" applyNumberFormat="1" applyFont="1" applyFill="1" applyBorder="1" applyAlignment="1">
      <alignment horizontal="center" vertical="top" wrapText="1"/>
    </xf>
    <xf numFmtId="49" fontId="57" fillId="16" borderId="54" xfId="0" applyNumberFormat="1" applyFont="1" applyFill="1" applyBorder="1" applyAlignment="1">
      <alignment horizontal="center" vertical="center" wrapText="1"/>
    </xf>
    <xf numFmtId="170" fontId="39" fillId="2" borderId="131" xfId="0" applyNumberFormat="1" applyFont="1" applyFill="1" applyBorder="1" applyAlignment="1">
      <alignment horizontal="center" vertical="top" wrapText="1"/>
    </xf>
    <xf numFmtId="170" fontId="39" fillId="2" borderId="132" xfId="0" applyNumberFormat="1" applyFont="1" applyFill="1" applyBorder="1" applyAlignment="1">
      <alignment horizontal="center" vertical="top" wrapText="1"/>
    </xf>
    <xf numFmtId="49" fontId="39" fillId="2" borderId="80" xfId="0" applyNumberFormat="1" applyFont="1" applyFill="1" applyBorder="1" applyAlignment="1">
      <alignment horizontal="center" vertical="top" wrapText="1"/>
    </xf>
    <xf numFmtId="49" fontId="39" fillId="2" borderId="134" xfId="0" applyNumberFormat="1" applyFont="1" applyFill="1" applyBorder="1" applyAlignment="1">
      <alignment horizontal="center" vertical="top" wrapText="1"/>
    </xf>
    <xf numFmtId="49" fontId="39" fillId="2" borderId="131" xfId="0" applyNumberFormat="1" applyFont="1" applyFill="1" applyBorder="1" applyAlignment="1">
      <alignment horizontal="center" vertical="top" wrapText="1"/>
    </xf>
    <xf numFmtId="49" fontId="39" fillId="2" borderId="132" xfId="0" applyNumberFormat="1" applyFont="1" applyFill="1" applyBorder="1" applyAlignment="1">
      <alignment horizontal="center" vertical="top" wrapText="1"/>
    </xf>
    <xf numFmtId="1" fontId="57" fillId="16" borderId="48" xfId="0" applyNumberFormat="1" applyFont="1" applyFill="1" applyBorder="1" applyAlignment="1">
      <alignment horizontal="center" vertical="top" wrapText="1"/>
    </xf>
    <xf numFmtId="1" fontId="57" fillId="16" borderId="98" xfId="0" applyNumberFormat="1" applyFont="1" applyFill="1" applyBorder="1" applyAlignment="1">
      <alignment horizontal="center" vertical="top" wrapText="1"/>
    </xf>
    <xf numFmtId="49" fontId="39" fillId="2" borderId="54" xfId="0" applyNumberFormat="1" applyFont="1" applyFill="1" applyBorder="1" applyAlignment="1">
      <alignment horizontal="center" vertical="top" wrapText="1"/>
    </xf>
    <xf numFmtId="49" fontId="39" fillId="2" borderId="48" xfId="0" applyNumberFormat="1" applyFont="1" applyFill="1" applyBorder="1" applyAlignment="1">
      <alignment horizontal="center" vertical="top" wrapText="1"/>
    </xf>
    <xf numFmtId="164" fontId="39" fillId="2" borderId="132" xfId="1" applyNumberFormat="1" applyFont="1" applyFill="1" applyBorder="1" applyAlignment="1">
      <alignment horizontal="center" vertical="top" wrapText="1"/>
    </xf>
    <xf numFmtId="164" fontId="39" fillId="2" borderId="75" xfId="1" applyNumberFormat="1" applyFont="1" applyFill="1" applyBorder="1" applyAlignment="1">
      <alignment horizontal="center" vertical="top" wrapText="1"/>
    </xf>
    <xf numFmtId="14" fontId="32" fillId="2" borderId="54" xfId="1" applyNumberFormat="1" applyFont="1" applyFill="1" applyBorder="1" applyAlignment="1">
      <alignment horizontal="center" vertical="top" wrapText="1"/>
    </xf>
    <xf numFmtId="14" fontId="32" fillId="2" borderId="49" xfId="1" applyNumberFormat="1" applyFont="1" applyFill="1" applyBorder="1" applyAlignment="1">
      <alignment horizontal="center" vertical="top" wrapText="1"/>
    </xf>
    <xf numFmtId="0" fontId="32" fillId="2" borderId="80" xfId="1" applyNumberFormat="1" applyFont="1" applyFill="1" applyBorder="1" applyAlignment="1">
      <alignment horizontal="center" vertical="top" wrapText="1"/>
    </xf>
    <xf numFmtId="0" fontId="32" fillId="2" borderId="135" xfId="1" applyNumberFormat="1" applyFont="1" applyFill="1" applyBorder="1" applyAlignment="1">
      <alignment horizontal="center" vertical="top" wrapText="1"/>
    </xf>
    <xf numFmtId="43" fontId="32" fillId="2" borderId="131" xfId="1" applyFont="1" applyFill="1" applyBorder="1" applyAlignment="1">
      <alignment horizontal="center" vertical="top" wrapText="1"/>
    </xf>
    <xf numFmtId="43" fontId="32" fillId="2" borderId="132" xfId="1" applyFont="1" applyFill="1" applyBorder="1" applyAlignment="1">
      <alignment horizontal="center" vertical="top" wrapText="1"/>
    </xf>
    <xf numFmtId="43" fontId="32" fillId="2" borderId="129" xfId="1" applyFont="1" applyFill="1" applyBorder="1" applyAlignment="1">
      <alignment horizontal="center" vertical="top" wrapText="1"/>
    </xf>
    <xf numFmtId="43" fontId="32" fillId="2" borderId="133" xfId="1" applyFont="1" applyFill="1" applyBorder="1" applyAlignment="1">
      <alignment horizontal="center" vertical="top" wrapText="1"/>
    </xf>
    <xf numFmtId="0" fontId="32" fillId="2" borderId="54" xfId="0" applyFont="1" applyFill="1" applyBorder="1" applyAlignment="1">
      <alignment horizontal="center" vertical="top" wrapText="1"/>
    </xf>
    <xf numFmtId="0" fontId="32" fillId="2" borderId="47" xfId="0" applyFont="1" applyFill="1" applyBorder="1" applyAlignment="1">
      <alignment horizontal="center" vertical="top" wrapText="1"/>
    </xf>
    <xf numFmtId="43" fontId="39" fillId="2" borderId="132" xfId="1" applyFont="1" applyFill="1" applyBorder="1" applyAlignment="1">
      <alignment horizontal="center" vertical="top" wrapText="1"/>
    </xf>
    <xf numFmtId="43" fontId="39" fillId="2" borderId="75" xfId="1" applyFont="1" applyFill="1" applyBorder="1" applyAlignment="1">
      <alignment horizontal="center" vertical="top" wrapText="1"/>
    </xf>
    <xf numFmtId="10" fontId="32" fillId="2" borderId="73" xfId="2" applyNumberFormat="1" applyFont="1" applyFill="1" applyBorder="1" applyAlignment="1">
      <alignment horizontal="center" vertical="top" wrapText="1"/>
    </xf>
    <xf numFmtId="10" fontId="32" fillId="2" borderId="75" xfId="2" applyNumberFormat="1" applyFont="1" applyFill="1" applyBorder="1" applyAlignment="1">
      <alignment horizontal="center" vertical="top" wrapText="1"/>
    </xf>
    <xf numFmtId="14" fontId="32" fillId="2" borderId="73" xfId="1" applyNumberFormat="1" applyFont="1" applyFill="1" applyBorder="1" applyAlignment="1">
      <alignment horizontal="center" vertical="top" wrapText="1"/>
    </xf>
    <xf numFmtId="14" fontId="32" fillId="2" borderId="75" xfId="1" applyNumberFormat="1" applyFont="1" applyFill="1" applyBorder="1" applyAlignment="1">
      <alignment horizontal="center" vertical="top" wrapText="1"/>
    </xf>
    <xf numFmtId="164" fontId="39" fillId="2" borderId="134" xfId="1" applyNumberFormat="1" applyFont="1" applyFill="1" applyBorder="1" applyAlignment="1">
      <alignment horizontal="center" vertical="top" wrapText="1"/>
    </xf>
    <xf numFmtId="164" fontId="39" fillId="2" borderId="143" xfId="1" applyNumberFormat="1" applyFont="1" applyFill="1" applyBorder="1" applyAlignment="1">
      <alignment horizontal="center" vertical="top" wrapText="1"/>
    </xf>
    <xf numFmtId="49" fontId="39" fillId="2" borderId="75" xfId="0" applyNumberFormat="1" applyFont="1" applyFill="1" applyBorder="1" applyAlignment="1">
      <alignment horizontal="center" vertical="top" wrapText="1"/>
    </xf>
    <xf numFmtId="43" fontId="39" fillId="2" borderId="133" xfId="1" applyFont="1" applyFill="1" applyBorder="1" applyAlignment="1">
      <alignment horizontal="center" vertical="top" wrapText="1"/>
    </xf>
    <xf numFmtId="43" fontId="39" fillId="2" borderId="144" xfId="1" applyFont="1" applyFill="1" applyBorder="1" applyAlignment="1">
      <alignment horizontal="center" vertical="top" wrapText="1"/>
    </xf>
    <xf numFmtId="0" fontId="39" fillId="2" borderId="54" xfId="1" applyNumberFormat="1" applyFont="1" applyFill="1" applyBorder="1" applyAlignment="1">
      <alignment horizontal="center" vertical="top" wrapText="1"/>
    </xf>
    <xf numFmtId="0" fontId="39" fillId="2" borderId="48" xfId="1" applyNumberFormat="1" applyFont="1" applyFill="1" applyBorder="1" applyAlignment="1">
      <alignment horizontal="center" vertical="top" wrapText="1"/>
    </xf>
    <xf numFmtId="49" fontId="39" fillId="2" borderId="54" xfId="1" applyNumberFormat="1" applyFont="1" applyFill="1" applyBorder="1" applyAlignment="1">
      <alignment horizontal="center" vertical="top" wrapText="1"/>
    </xf>
    <xf numFmtId="49" fontId="39" fillId="2" borderId="48" xfId="1" applyNumberFormat="1" applyFont="1" applyFill="1" applyBorder="1" applyAlignment="1">
      <alignment horizontal="center" vertical="top" wrapText="1"/>
    </xf>
    <xf numFmtId="49" fontId="34" fillId="12" borderId="54" xfId="0" applyNumberFormat="1" applyFont="1" applyFill="1" applyBorder="1" applyAlignment="1">
      <alignment horizontal="center" vertical="center"/>
    </xf>
    <xf numFmtId="49" fontId="34" fillId="12" borderId="51" xfId="0" applyNumberFormat="1" applyFont="1" applyFill="1" applyBorder="1" applyAlignment="1">
      <alignment horizontal="center" vertical="center"/>
    </xf>
    <xf numFmtId="49" fontId="34" fillId="12" borderId="16" xfId="0" applyNumberFormat="1" applyFont="1" applyFill="1" applyBorder="1" applyAlignment="1">
      <alignment horizontal="center" vertical="center"/>
    </xf>
    <xf numFmtId="49" fontId="34" fillId="12" borderId="57" xfId="0" applyNumberFormat="1" applyFont="1" applyFill="1" applyBorder="1" applyAlignment="1">
      <alignment horizontal="center" vertical="center"/>
    </xf>
    <xf numFmtId="43" fontId="34" fillId="16" borderId="54" xfId="1" applyFont="1" applyFill="1" applyBorder="1" applyAlignment="1">
      <alignment horizontal="center" vertical="top" wrapText="1"/>
    </xf>
    <xf numFmtId="43" fontId="34" fillId="16" borderId="48" xfId="1" applyFont="1" applyFill="1" applyBorder="1" applyAlignment="1">
      <alignment horizontal="center" vertical="top" wrapText="1"/>
    </xf>
    <xf numFmtId="1" fontId="34" fillId="16" borderId="54" xfId="1" applyNumberFormat="1" applyFont="1" applyFill="1" applyBorder="1" applyAlignment="1">
      <alignment horizontal="center" vertical="top" wrapText="1"/>
    </xf>
    <xf numFmtId="1" fontId="34" fillId="16" borderId="48" xfId="1" applyNumberFormat="1" applyFont="1" applyFill="1" applyBorder="1" applyAlignment="1">
      <alignment horizontal="center" vertical="top" wrapText="1"/>
    </xf>
    <xf numFmtId="14" fontId="39" fillId="2" borderId="78" xfId="0" applyNumberFormat="1" applyFont="1" applyFill="1" applyBorder="1" applyAlignment="1">
      <alignment horizontal="center" vertical="top" wrapText="1"/>
    </xf>
    <xf numFmtId="14" fontId="39" fillId="2" borderId="73" xfId="0" applyNumberFormat="1" applyFont="1" applyFill="1" applyBorder="1" applyAlignment="1">
      <alignment horizontal="center" vertical="top" wrapText="1"/>
    </xf>
    <xf numFmtId="0" fontId="39" fillId="2" borderId="78" xfId="0" applyFont="1" applyFill="1" applyBorder="1" applyAlignment="1">
      <alignment horizontal="center" vertical="top" wrapText="1"/>
    </xf>
    <xf numFmtId="0" fontId="39" fillId="2" borderId="73" xfId="0" applyFont="1" applyFill="1" applyBorder="1" applyAlignment="1">
      <alignment horizontal="center" vertical="top" wrapText="1"/>
    </xf>
    <xf numFmtId="49" fontId="39" fillId="2" borderId="125" xfId="0" applyNumberFormat="1" applyFont="1" applyFill="1" applyBorder="1" applyAlignment="1">
      <alignment horizontal="center" vertical="top" wrapText="1"/>
    </xf>
    <xf numFmtId="49" fontId="39" fillId="2" borderId="138" xfId="0" applyNumberFormat="1" applyFont="1" applyFill="1" applyBorder="1" applyAlignment="1">
      <alignment horizontal="center" vertical="top" wrapText="1"/>
    </xf>
    <xf numFmtId="49" fontId="39" fillId="2" borderId="78" xfId="0" applyNumberFormat="1" applyFont="1" applyFill="1" applyBorder="1" applyAlignment="1">
      <alignment horizontal="center" vertical="top" wrapText="1"/>
    </xf>
    <xf numFmtId="49" fontId="39" fillId="2" borderId="73" xfId="0" applyNumberFormat="1" applyFont="1" applyFill="1" applyBorder="1" applyAlignment="1">
      <alignment horizontal="center" vertical="top" wrapText="1"/>
    </xf>
    <xf numFmtId="49" fontId="57" fillId="16" borderId="48" xfId="0" applyNumberFormat="1" applyFont="1" applyFill="1" applyBorder="1" applyAlignment="1">
      <alignment horizontal="center" vertical="top" wrapText="1"/>
    </xf>
    <xf numFmtId="49" fontId="57" fillId="16" borderId="98" xfId="0" applyNumberFormat="1" applyFont="1" applyFill="1" applyBorder="1" applyAlignment="1">
      <alignment horizontal="center" vertical="top" wrapText="1"/>
    </xf>
    <xf numFmtId="49" fontId="39" fillId="2" borderId="79" xfId="0" applyNumberFormat="1" applyFont="1" applyFill="1" applyBorder="1" applyAlignment="1">
      <alignment horizontal="center" vertical="top" wrapText="1"/>
    </xf>
    <xf numFmtId="49" fontId="39" fillId="2" borderId="84" xfId="0" applyNumberFormat="1" applyFont="1" applyFill="1" applyBorder="1" applyAlignment="1">
      <alignment horizontal="center" vertical="top" wrapText="1"/>
    </xf>
    <xf numFmtId="164" fontId="39" fillId="2" borderId="133" xfId="1" applyNumberFormat="1" applyFont="1" applyFill="1" applyBorder="1" applyAlignment="1">
      <alignment horizontal="center" vertical="top" wrapText="1"/>
    </xf>
    <xf numFmtId="164" fontId="39" fillId="2" borderId="144" xfId="1" applyNumberFormat="1" applyFont="1" applyFill="1" applyBorder="1" applyAlignment="1">
      <alignment horizontal="center" vertical="top" wrapText="1"/>
    </xf>
    <xf numFmtId="0" fontId="39" fillId="2" borderId="134" xfId="1" applyNumberFormat="1" applyFont="1" applyFill="1" applyBorder="1" applyAlignment="1">
      <alignment horizontal="center" vertical="top" wrapText="1"/>
    </xf>
    <xf numFmtId="0" fontId="39" fillId="2" borderId="143" xfId="1" applyNumberFormat="1" applyFont="1" applyFill="1" applyBorder="1" applyAlignment="1">
      <alignment horizontal="center" vertical="top" wrapText="1"/>
    </xf>
    <xf numFmtId="0" fontId="39" fillId="2" borderId="132" xfId="1" applyNumberFormat="1" applyFont="1" applyFill="1" applyBorder="1" applyAlignment="1">
      <alignment horizontal="center" vertical="top" wrapText="1"/>
    </xf>
    <xf numFmtId="0" fontId="39" fillId="2" borderId="75" xfId="1" applyNumberFormat="1" applyFont="1" applyFill="1" applyBorder="1" applyAlignment="1">
      <alignment horizontal="center" vertical="top" wrapText="1"/>
    </xf>
    <xf numFmtId="43" fontId="42" fillId="16" borderId="9" xfId="1" applyFont="1" applyFill="1" applyBorder="1" applyAlignment="1">
      <alignment horizontal="center" vertical="center"/>
    </xf>
    <xf numFmtId="43" fontId="42" fillId="16" borderId="10" xfId="1" applyFont="1" applyFill="1" applyBorder="1" applyAlignment="1">
      <alignment horizontal="center" vertical="center"/>
    </xf>
    <xf numFmtId="43" fontId="42" fillId="16" borderId="11" xfId="1" applyFont="1" applyFill="1" applyBorder="1" applyAlignment="1">
      <alignment horizontal="center" vertical="center"/>
    </xf>
    <xf numFmtId="0" fontId="39" fillId="2" borderId="131" xfId="0" applyFont="1" applyFill="1" applyBorder="1" applyAlignment="1">
      <alignment horizontal="center" vertical="top" wrapText="1"/>
    </xf>
    <xf numFmtId="0" fontId="39" fillId="2" borderId="132" xfId="0" applyFont="1" applyFill="1" applyBorder="1" applyAlignment="1">
      <alignment horizontal="center" vertical="top" wrapText="1"/>
    </xf>
    <xf numFmtId="1" fontId="39" fillId="2" borderId="131" xfId="0" applyNumberFormat="1" applyFont="1" applyFill="1" applyBorder="1" applyAlignment="1">
      <alignment horizontal="center" vertical="top" wrapText="1"/>
    </xf>
    <xf numFmtId="1" fontId="39" fillId="2" borderId="132" xfId="0" applyNumberFormat="1" applyFont="1" applyFill="1" applyBorder="1" applyAlignment="1">
      <alignment horizontal="center" vertical="top" wrapText="1"/>
    </xf>
    <xf numFmtId="43" fontId="39" fillId="2" borderId="48" xfId="1" applyFont="1" applyFill="1" applyBorder="1" applyAlignment="1">
      <alignment horizontal="center" vertical="top" wrapText="1"/>
    </xf>
    <xf numFmtId="43" fontId="39" fillId="2" borderId="98" xfId="1" applyFont="1" applyFill="1" applyBorder="1" applyAlignment="1">
      <alignment horizontal="center" vertical="top" wrapText="1"/>
    </xf>
    <xf numFmtId="49" fontId="57" fillId="12" borderId="54" xfId="0" applyNumberFormat="1" applyFont="1" applyFill="1" applyBorder="1" applyAlignment="1">
      <alignment horizontal="center" vertical="center"/>
    </xf>
    <xf numFmtId="43" fontId="39" fillId="2" borderId="131" xfId="1" applyFont="1" applyFill="1" applyBorder="1" applyAlignment="1">
      <alignment horizontal="center" vertical="top" wrapText="1"/>
    </xf>
    <xf numFmtId="164" fontId="39" fillId="2" borderId="129" xfId="1" applyNumberFormat="1" applyFont="1" applyFill="1" applyBorder="1" applyAlignment="1">
      <alignment horizontal="center" vertical="top" wrapText="1"/>
    </xf>
    <xf numFmtId="14" fontId="39" fillId="2" borderId="132" xfId="1" applyNumberFormat="1" applyFont="1" applyFill="1" applyBorder="1" applyAlignment="1">
      <alignment horizontal="center" vertical="top" wrapText="1"/>
    </xf>
    <xf numFmtId="14" fontId="39" fillId="2" borderId="75" xfId="1" applyNumberFormat="1" applyFont="1" applyFill="1" applyBorder="1" applyAlignment="1">
      <alignment horizontal="center" vertical="top" wrapText="1"/>
    </xf>
    <xf numFmtId="0" fontId="39" fillId="2" borderId="131" xfId="1" applyNumberFormat="1" applyFont="1" applyFill="1" applyBorder="1" applyAlignment="1">
      <alignment horizontal="center" vertical="top" wrapText="1"/>
    </xf>
    <xf numFmtId="49" fontId="39" fillId="2" borderId="135" xfId="1" applyNumberFormat="1" applyFont="1" applyFill="1" applyBorder="1" applyAlignment="1">
      <alignment horizontal="center" vertical="top" wrapText="1"/>
    </xf>
    <xf numFmtId="49" fontId="39" fillId="2" borderId="75" xfId="1" applyNumberFormat="1" applyFont="1" applyFill="1" applyBorder="1" applyAlignment="1">
      <alignment horizontal="center" vertical="top" wrapText="1"/>
    </xf>
    <xf numFmtId="1" fontId="57" fillId="16" borderId="54" xfId="0" applyNumberFormat="1" applyFont="1" applyFill="1" applyBorder="1" applyAlignment="1">
      <alignment horizontal="center" vertical="top" wrapText="1"/>
    </xf>
    <xf numFmtId="0" fontId="39" fillId="2" borderId="47" xfId="0" applyFont="1" applyFill="1" applyBorder="1" applyAlignment="1">
      <alignment horizontal="center" vertical="top" wrapText="1"/>
    </xf>
    <xf numFmtId="0" fontId="39" fillId="2" borderId="143" xfId="0" applyFont="1" applyFill="1" applyBorder="1" applyAlignment="1">
      <alignment horizontal="center" vertical="top" wrapText="1"/>
    </xf>
    <xf numFmtId="49" fontId="39" fillId="2" borderId="133" xfId="1" applyNumberFormat="1" applyFont="1" applyFill="1" applyBorder="1" applyAlignment="1">
      <alignment horizontal="center" vertical="top" wrapText="1"/>
    </xf>
    <xf numFmtId="49" fontId="39" fillId="2" borderId="144" xfId="1" applyNumberFormat="1" applyFont="1" applyFill="1" applyBorder="1" applyAlignment="1">
      <alignment horizontal="center" vertical="top" wrapText="1"/>
    </xf>
    <xf numFmtId="0" fontId="39" fillId="2" borderId="80" xfId="1" applyNumberFormat="1" applyFont="1" applyFill="1" applyBorder="1" applyAlignment="1">
      <alignment horizontal="center" vertical="top" wrapText="1"/>
    </xf>
    <xf numFmtId="49" fontId="57" fillId="16" borderId="54" xfId="0" applyNumberFormat="1" applyFont="1" applyFill="1" applyBorder="1" applyAlignment="1">
      <alignment horizontal="center" vertical="top" wrapText="1"/>
    </xf>
    <xf numFmtId="49" fontId="57" fillId="16" borderId="47" xfId="0" applyNumberFormat="1" applyFont="1" applyFill="1" applyBorder="1" applyAlignment="1">
      <alignment horizontal="center" vertical="top" wrapText="1"/>
    </xf>
    <xf numFmtId="49" fontId="39" fillId="2" borderId="129" xfId="0" applyNumberFormat="1" applyFont="1" applyFill="1" applyBorder="1" applyAlignment="1">
      <alignment horizontal="center" vertical="top" wrapText="1"/>
    </xf>
    <xf numFmtId="49" fontId="39" fillId="2" borderId="133" xfId="0" applyNumberFormat="1" applyFont="1" applyFill="1" applyBorder="1" applyAlignment="1">
      <alignment horizontal="center" vertical="top" wrapText="1"/>
    </xf>
    <xf numFmtId="14" fontId="39" fillId="2" borderId="131" xfId="0" applyNumberFormat="1" applyFont="1" applyFill="1" applyBorder="1" applyAlignment="1">
      <alignment horizontal="center" vertical="top" wrapText="1"/>
    </xf>
    <xf numFmtId="14" fontId="39" fillId="2" borderId="132" xfId="0" applyNumberFormat="1" applyFont="1" applyFill="1" applyBorder="1" applyAlignment="1">
      <alignment horizontal="center" vertical="top" wrapText="1"/>
    </xf>
    <xf numFmtId="43" fontId="39" fillId="2" borderId="130" xfId="1" applyFont="1" applyFill="1" applyBorder="1" applyAlignment="1">
      <alignment horizontal="center" vertical="center" wrapText="1"/>
    </xf>
    <xf numFmtId="43" fontId="39" fillId="2" borderId="73" xfId="1" applyFont="1" applyFill="1" applyBorder="1" applyAlignment="1">
      <alignment horizontal="center" vertical="center" wrapText="1"/>
    </xf>
    <xf numFmtId="164" fontId="39" fillId="2" borderId="128" xfId="1" applyNumberFormat="1" applyFont="1" applyFill="1" applyBorder="1" applyAlignment="1">
      <alignment horizontal="center" vertical="center" wrapText="1"/>
    </xf>
    <xf numFmtId="164" fontId="39" fillId="2" borderId="73" xfId="1" applyNumberFormat="1" applyFont="1" applyFill="1" applyBorder="1" applyAlignment="1">
      <alignment horizontal="center" vertical="center" wrapText="1"/>
    </xf>
    <xf numFmtId="49" fontId="34" fillId="16" borderId="54" xfId="0" applyNumberFormat="1" applyFont="1" applyFill="1" applyBorder="1" applyAlignment="1">
      <alignment horizontal="center" vertical="top" wrapText="1"/>
    </xf>
    <xf numFmtId="49" fontId="34" fillId="16" borderId="48" xfId="0" applyNumberFormat="1" applyFont="1" applyFill="1" applyBorder="1" applyAlignment="1">
      <alignment horizontal="center" vertical="top" wrapText="1"/>
    </xf>
    <xf numFmtId="164" fontId="34" fillId="16" borderId="54" xfId="1" applyNumberFormat="1" applyFont="1" applyFill="1" applyBorder="1" applyAlignment="1">
      <alignment horizontal="center" vertical="top" wrapText="1"/>
    </xf>
    <xf numFmtId="164" fontId="34" fillId="16" borderId="48" xfId="1" applyNumberFormat="1" applyFont="1" applyFill="1" applyBorder="1" applyAlignment="1">
      <alignment horizontal="center" vertical="top" wrapText="1"/>
    </xf>
    <xf numFmtId="49" fontId="34" fillId="16" borderId="54" xfId="1" applyNumberFormat="1" applyFont="1" applyFill="1" applyBorder="1" applyAlignment="1">
      <alignment horizontal="center" vertical="top" wrapText="1"/>
    </xf>
    <xf numFmtId="49" fontId="34" fillId="16" borderId="48" xfId="1" applyNumberFormat="1" applyFont="1" applyFill="1" applyBorder="1" applyAlignment="1">
      <alignment horizontal="center" vertical="top" wrapText="1"/>
    </xf>
    <xf numFmtId="49" fontId="39" fillId="2" borderId="124" xfId="20" applyNumberFormat="1" applyFont="1" applyFill="1" applyBorder="1" applyAlignment="1">
      <alignment horizontal="center" vertical="center"/>
    </xf>
    <xf numFmtId="49" fontId="39" fillId="2" borderId="73" xfId="20" applyNumberFormat="1" applyFont="1" applyFill="1" applyBorder="1" applyAlignment="1">
      <alignment horizontal="center" vertical="center"/>
    </xf>
    <xf numFmtId="0" fontId="39" fillId="2" borderId="122" xfId="0" applyFont="1" applyFill="1" applyBorder="1" applyAlignment="1">
      <alignment horizontal="center" vertical="top" wrapText="1"/>
    </xf>
    <xf numFmtId="0" fontId="39" fillId="2" borderId="146" xfId="0" applyFont="1" applyFill="1" applyBorder="1" applyAlignment="1">
      <alignment horizontal="center" vertical="top" wrapText="1"/>
    </xf>
    <xf numFmtId="49" fontId="39" fillId="2" borderId="121" xfId="0" applyNumberFormat="1" applyFont="1" applyFill="1" applyBorder="1" applyAlignment="1">
      <alignment horizontal="center" vertical="top" wrapText="1"/>
    </xf>
    <xf numFmtId="49" fontId="39" fillId="2" borderId="145" xfId="0" applyNumberFormat="1" applyFont="1" applyFill="1" applyBorder="1" applyAlignment="1">
      <alignment horizontal="center" vertical="top" wrapText="1"/>
    </xf>
    <xf numFmtId="49" fontId="39" fillId="2" borderId="122" xfId="0" applyNumberFormat="1" applyFont="1" applyFill="1" applyBorder="1" applyAlignment="1">
      <alignment horizontal="center" vertical="top" wrapText="1"/>
    </xf>
    <xf numFmtId="49" fontId="39" fillId="2" borderId="146" xfId="0" applyNumberFormat="1" applyFont="1" applyFill="1" applyBorder="1" applyAlignment="1">
      <alignment horizontal="center" vertical="top" wrapText="1"/>
    </xf>
    <xf numFmtId="164" fontId="39" fillId="2" borderId="122" xfId="1" applyNumberFormat="1" applyFont="1" applyFill="1" applyBorder="1" applyAlignment="1">
      <alignment horizontal="center" vertical="top" wrapText="1"/>
    </xf>
    <xf numFmtId="164" fontId="39" fillId="2" borderId="146" xfId="1" applyNumberFormat="1" applyFont="1" applyFill="1" applyBorder="1" applyAlignment="1">
      <alignment horizontal="center" vertical="top" wrapText="1"/>
    </xf>
    <xf numFmtId="15" fontId="39" fillId="2" borderId="122" xfId="0" applyNumberFormat="1" applyFont="1" applyFill="1" applyBorder="1" applyAlignment="1">
      <alignment horizontal="center" vertical="top" wrapText="1"/>
    </xf>
    <xf numFmtId="15" fontId="39" fillId="2" borderId="146" xfId="0" applyNumberFormat="1" applyFont="1" applyFill="1" applyBorder="1" applyAlignment="1">
      <alignment horizontal="center" vertical="top" wrapText="1"/>
    </xf>
    <xf numFmtId="14" fontId="39" fillId="2" borderId="122" xfId="0" applyNumberFormat="1" applyFont="1" applyFill="1" applyBorder="1" applyAlignment="1">
      <alignment horizontal="center" vertical="top" wrapText="1"/>
    </xf>
    <xf numFmtId="14" fontId="39" fillId="2" borderId="146" xfId="0" applyNumberFormat="1" applyFont="1" applyFill="1" applyBorder="1" applyAlignment="1">
      <alignment horizontal="center" vertical="top" wrapText="1"/>
    </xf>
    <xf numFmtId="164" fontId="39" fillId="2" borderId="119" xfId="1" applyNumberFormat="1" applyFont="1" applyFill="1" applyBorder="1" applyAlignment="1">
      <alignment horizontal="center" vertical="top" wrapText="1"/>
    </xf>
    <xf numFmtId="164" fontId="39" fillId="2" borderId="147" xfId="1" applyNumberFormat="1" applyFont="1" applyFill="1" applyBorder="1" applyAlignment="1">
      <alignment horizontal="center" vertical="top" wrapText="1"/>
    </xf>
    <xf numFmtId="0" fontId="39" fillId="2" borderId="119" xfId="1" applyNumberFormat="1" applyFont="1" applyFill="1" applyBorder="1" applyAlignment="1">
      <alignment horizontal="center" vertical="top" wrapText="1"/>
    </xf>
    <xf numFmtId="0" fontId="39" fillId="2" borderId="147" xfId="1" applyNumberFormat="1" applyFont="1" applyFill="1" applyBorder="1" applyAlignment="1">
      <alignment horizontal="center" vertical="top" wrapText="1"/>
    </xf>
    <xf numFmtId="43" fontId="39" fillId="2" borderId="119" xfId="1" applyFont="1" applyFill="1" applyBorder="1" applyAlignment="1">
      <alignment horizontal="center" vertical="top" wrapText="1"/>
    </xf>
    <xf numFmtId="43" fontId="39" fillId="2" borderId="147" xfId="1" applyFont="1" applyFill="1" applyBorder="1" applyAlignment="1">
      <alignment horizontal="center" vertical="top" wrapText="1"/>
    </xf>
    <xf numFmtId="49" fontId="39" fillId="2" borderId="119" xfId="1" applyNumberFormat="1" applyFont="1" applyFill="1" applyBorder="1" applyAlignment="1">
      <alignment horizontal="center" vertical="top" wrapText="1"/>
    </xf>
    <xf numFmtId="49" fontId="39" fillId="2" borderId="147" xfId="1" applyNumberFormat="1" applyFont="1" applyFill="1" applyBorder="1" applyAlignment="1">
      <alignment horizontal="center" vertical="top" wrapText="1"/>
    </xf>
    <xf numFmtId="49" fontId="39" fillId="2" borderId="79" xfId="1" applyNumberFormat="1" applyFont="1" applyFill="1" applyBorder="1" applyAlignment="1">
      <alignment horizontal="center" vertical="top" wrapText="1"/>
    </xf>
    <xf numFmtId="49" fontId="39" fillId="2" borderId="84" xfId="1" applyNumberFormat="1" applyFont="1" applyFill="1" applyBorder="1" applyAlignment="1">
      <alignment horizontal="center" vertical="top" wrapText="1"/>
    </xf>
    <xf numFmtId="49" fontId="39" fillId="2" borderId="78" xfId="1" applyNumberFormat="1" applyFont="1" applyFill="1" applyBorder="1" applyAlignment="1">
      <alignment horizontal="center" vertical="top" wrapText="1"/>
    </xf>
    <xf numFmtId="49" fontId="39" fillId="2" borderId="73" xfId="1" applyNumberFormat="1" applyFont="1" applyFill="1" applyBorder="1" applyAlignment="1">
      <alignment horizontal="center" vertical="top" wrapText="1"/>
    </xf>
    <xf numFmtId="0" fontId="0" fillId="0" borderId="87" xfId="0" applyBorder="1" applyAlignment="1">
      <alignment vertical="center" wrapText="1"/>
    </xf>
    <xf numFmtId="0" fontId="0" fillId="0" borderId="88" xfId="0" applyBorder="1" applyAlignment="1">
      <alignment vertical="center" wrapText="1"/>
    </xf>
    <xf numFmtId="0" fontId="0" fillId="0" borderId="89" xfId="0" applyBorder="1" applyAlignment="1">
      <alignment vertical="center" wrapText="1"/>
    </xf>
    <xf numFmtId="0" fontId="0" fillId="0" borderId="86" xfId="0" applyBorder="1" applyAlignment="1">
      <alignment vertical="center" wrapText="1"/>
    </xf>
    <xf numFmtId="49" fontId="46" fillId="17" borderId="87" xfId="0" applyNumberFormat="1" applyFont="1" applyFill="1" applyBorder="1" applyAlignment="1">
      <alignment horizontal="center" vertical="center"/>
    </xf>
    <xf numFmtId="49" fontId="46" fillId="17" borderId="88" xfId="0" applyNumberFormat="1" applyFont="1" applyFill="1" applyBorder="1" applyAlignment="1">
      <alignment horizontal="center" vertical="center"/>
    </xf>
    <xf numFmtId="49" fontId="46" fillId="17" borderId="89" xfId="0" applyNumberFormat="1" applyFont="1" applyFill="1" applyBorder="1" applyAlignment="1">
      <alignment horizontal="center" vertical="center"/>
    </xf>
    <xf numFmtId="0" fontId="24" fillId="12" borderId="87" xfId="0" applyFont="1" applyFill="1" applyBorder="1" applyAlignment="1">
      <alignment horizontal="center" vertical="top" wrapText="1"/>
    </xf>
    <xf numFmtId="0" fontId="24" fillId="12" borderId="88" xfId="0" applyFont="1" applyFill="1" applyBorder="1" applyAlignment="1">
      <alignment horizontal="center" vertical="top" wrapText="1"/>
    </xf>
    <xf numFmtId="0" fontId="24" fillId="12" borderId="89" xfId="0" applyFont="1" applyFill="1" applyBorder="1" applyAlignment="1">
      <alignment horizontal="center" vertical="top"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4" fontId="0" fillId="0" borderId="87" xfId="1" applyNumberFormat="1" applyFont="1" applyBorder="1" applyAlignment="1">
      <alignment horizontal="center" vertical="center"/>
    </xf>
    <xf numFmtId="4" fontId="0" fillId="0" borderId="89" xfId="1" applyNumberFormat="1" applyFont="1" applyBorder="1" applyAlignment="1">
      <alignment horizontal="center" vertical="center"/>
    </xf>
    <xf numFmtId="4" fontId="24" fillId="0" borderId="87" xfId="1" applyNumberFormat="1" applyFont="1" applyBorder="1" applyAlignment="1">
      <alignment horizontal="center" vertical="center"/>
    </xf>
    <xf numFmtId="4" fontId="24" fillId="0" borderId="89" xfId="1" applyNumberFormat="1" applyFont="1" applyBorder="1" applyAlignment="1">
      <alignment horizontal="center" vertical="center"/>
    </xf>
    <xf numFmtId="0" fontId="24" fillId="12" borderId="90" xfId="0" applyFont="1" applyFill="1" applyBorder="1" applyAlignment="1">
      <alignment horizontal="center" vertical="top" wrapText="1"/>
    </xf>
    <xf numFmtId="0" fontId="24" fillId="12" borderId="91" xfId="0" applyFont="1" applyFill="1" applyBorder="1" applyAlignment="1">
      <alignment horizontal="center" vertical="top" wrapText="1"/>
    </xf>
    <xf numFmtId="0" fontId="24" fillId="12" borderId="92" xfId="0" applyFont="1" applyFill="1" applyBorder="1" applyAlignment="1">
      <alignment horizontal="center" vertical="top" wrapText="1"/>
    </xf>
    <xf numFmtId="0" fontId="24" fillId="0" borderId="88" xfId="0" applyFont="1" applyBorder="1" applyAlignment="1">
      <alignment horizontal="center" vertical="center"/>
    </xf>
    <xf numFmtId="0" fontId="24" fillId="0" borderId="89" xfId="0" applyFont="1" applyBorder="1" applyAlignment="1">
      <alignment horizontal="center" vertical="center"/>
    </xf>
    <xf numFmtId="49" fontId="24" fillId="0" borderId="87" xfId="0" applyNumberFormat="1" applyFont="1" applyBorder="1" applyAlignment="1">
      <alignment horizontal="center" vertical="center"/>
    </xf>
    <xf numFmtId="49" fontId="24" fillId="0" borderId="88" xfId="0" applyNumberFormat="1" applyFont="1" applyBorder="1" applyAlignment="1">
      <alignment horizontal="center" vertical="center"/>
    </xf>
    <xf numFmtId="49" fontId="24" fillId="0" borderId="89" xfId="0" applyNumberFormat="1" applyFont="1" applyBorder="1" applyAlignment="1">
      <alignment horizontal="center" vertical="center"/>
    </xf>
    <xf numFmtId="0" fontId="0" fillId="0" borderId="89" xfId="0" applyBorder="1" applyAlignment="1">
      <alignment horizontal="center" vertical="center" wrapText="1"/>
    </xf>
    <xf numFmtId="49" fontId="24" fillId="12" borderId="87" xfId="0" applyNumberFormat="1" applyFont="1" applyFill="1" applyBorder="1" applyAlignment="1">
      <alignment horizontal="center" vertical="center" wrapText="1"/>
    </xf>
    <xf numFmtId="49" fontId="24" fillId="12" borderId="88" xfId="0" applyNumberFormat="1" applyFont="1" applyFill="1" applyBorder="1" applyAlignment="1">
      <alignment horizontal="center" vertical="center" wrapText="1"/>
    </xf>
    <xf numFmtId="49" fontId="24" fillId="12" borderId="89" xfId="0" applyNumberFormat="1" applyFont="1" applyFill="1" applyBorder="1" applyAlignment="1">
      <alignment horizontal="center" vertical="center" wrapText="1"/>
    </xf>
    <xf numFmtId="49" fontId="0" fillId="0" borderId="87" xfId="0" applyNumberFormat="1" applyBorder="1" applyAlignment="1">
      <alignment vertical="center" wrapText="1"/>
    </xf>
    <xf numFmtId="49" fontId="0" fillId="0" borderId="88" xfId="0" applyNumberFormat="1" applyBorder="1" applyAlignment="1">
      <alignment vertical="center" wrapText="1"/>
    </xf>
    <xf numFmtId="49" fontId="0" fillId="0" borderId="89" xfId="0" applyNumberFormat="1" applyBorder="1" applyAlignment="1">
      <alignment vertical="center" wrapText="1"/>
    </xf>
  </cellXfs>
  <cellStyles count="42">
    <cellStyle name="Accent" xfId="25" xr:uid="{D049751B-4281-4E46-A180-9514525A8A05}"/>
    <cellStyle name="Accent 1" xfId="26" xr:uid="{8EE70EAB-EB32-4CE1-952E-ED7B64D3B0F5}"/>
    <cellStyle name="Accent 2" xfId="27" xr:uid="{40881768-05C7-41EE-87E7-BA95D14F330D}"/>
    <cellStyle name="Accent 3" xfId="28" xr:uid="{A0DD7023-3D59-431D-86B8-55C452B6236A}"/>
    <cellStyle name="Bad" xfId="29" xr:uid="{258EB924-5365-4058-83BA-D45742164881}"/>
    <cellStyle name="Error" xfId="30" xr:uid="{F3A2175A-5CA6-4D3B-8AFF-B8E3DFDF704E}"/>
    <cellStyle name="Excel Built-in Normal" xfId="6" xr:uid="{00000000-0005-0000-0000-000000000000}"/>
    <cellStyle name="Excel Built-in Normal 2" xfId="31" xr:uid="{E80AC4EF-D616-4EF0-B3F9-6049920CE304}"/>
    <cellStyle name="Footnote" xfId="32" xr:uid="{C1AAA9B0-2E92-4089-B0E1-6EEC577128FB}"/>
    <cellStyle name="Good" xfId="33" xr:uid="{1B457D46-2173-4B89-ABB1-2F2618386D13}"/>
    <cellStyle name="Heading" xfId="34" xr:uid="{F36FC53D-9F70-4013-B82F-B303578B0B79}"/>
    <cellStyle name="Heading 1" xfId="35" xr:uid="{31D83F94-0951-4916-91DA-B8B8218ACEE5}"/>
    <cellStyle name="Heading 2" xfId="36" xr:uid="{C6EBA6E0-9E8F-4225-9247-51F2C08E92DC}"/>
    <cellStyle name="Hipervínculo" xfId="22" builtinId="8"/>
    <cellStyle name="Hipervínculo 2" xfId="21" xr:uid="{83FB58CA-7F05-4291-B24C-A519DC84CEAF}"/>
    <cellStyle name="Millares" xfId="1" builtinId="3"/>
    <cellStyle name="Millares 2" xfId="3" xr:uid="{00000000-0005-0000-0000-000003000000}"/>
    <cellStyle name="Millares 2 2" xfId="17" xr:uid="{00000000-0005-0000-0000-000004000000}"/>
    <cellStyle name="Millares 2 2 2" xfId="18" xr:uid="{983B6387-DAEE-4329-9D48-F7958ED3619E}"/>
    <cellStyle name="Millares 3" xfId="5" xr:uid="{00000000-0005-0000-0000-000005000000}"/>
    <cellStyle name="Millares 3 2" xfId="10" xr:uid="{00000000-0005-0000-0000-000006000000}"/>
    <cellStyle name="Millares 3 3" xfId="12" xr:uid="{00000000-0005-0000-0000-000007000000}"/>
    <cellStyle name="Millares 3 4" xfId="14" xr:uid="{00000000-0005-0000-0000-000008000000}"/>
    <cellStyle name="Millares 3 5" xfId="15" xr:uid="{00000000-0005-0000-0000-000009000000}"/>
    <cellStyle name="Millares 4" xfId="8" xr:uid="{00000000-0005-0000-0000-00000A000000}"/>
    <cellStyle name="Millares 5" xfId="9" xr:uid="{00000000-0005-0000-0000-00000B000000}"/>
    <cellStyle name="Millares 6" xfId="11" xr:uid="{00000000-0005-0000-0000-00000C000000}"/>
    <cellStyle name="Millares 7" xfId="13" xr:uid="{00000000-0005-0000-0000-00000D000000}"/>
    <cellStyle name="Millares 8" xfId="16" xr:uid="{00000000-0005-0000-0000-00000E000000}"/>
    <cellStyle name="Millares 9" xfId="20" xr:uid="{0CF52501-EE09-41E1-B968-27092177E59D}"/>
    <cellStyle name="Neutral 2" xfId="37" xr:uid="{EB1ABA67-A9FD-4729-B167-7FFE065F7F61}"/>
    <cellStyle name="Normal" xfId="0" builtinId="0"/>
    <cellStyle name="Normal 2" xfId="4" xr:uid="{00000000-0005-0000-0000-000010000000}"/>
    <cellStyle name="Normal 2 2" xfId="23" xr:uid="{E1E10E08-3439-4493-964F-966DD5BDEA8B}"/>
    <cellStyle name="Normal 3" xfId="19" xr:uid="{366D64CE-FC4C-4670-9F0C-C54AA12FCD31}"/>
    <cellStyle name="Note" xfId="38" xr:uid="{EA3A4629-43CE-45B2-AB1D-EEF234252B5E}"/>
    <cellStyle name="Porcentaje" xfId="2" builtinId="5"/>
    <cellStyle name="Porcentual 2" xfId="24" xr:uid="{B642AE2E-6634-4578-ACAC-FA4212848AC3}"/>
    <cellStyle name="Status" xfId="39" xr:uid="{B54ABA25-076F-471E-8473-DF9A712446E6}"/>
    <cellStyle name="TableStyleLight1" xfId="7" xr:uid="{00000000-0005-0000-0000-000012000000}"/>
    <cellStyle name="Text" xfId="40" xr:uid="{28B6A65D-5094-44D9-988A-9B62BD12DECC}"/>
    <cellStyle name="Warning" xfId="41" xr:uid="{A73C7ABF-17E4-40F5-9B6F-91ED7AB54635}"/>
  </cellStyles>
  <dxfs count="18">
    <dxf>
      <font>
        <color auto="1"/>
      </font>
      <fill>
        <patternFill>
          <bgColor theme="3" tint="0.79998168889431442"/>
        </patternFill>
      </fill>
    </dxf>
    <dxf>
      <font>
        <color auto="1"/>
      </font>
      <fill>
        <patternFill>
          <bgColor theme="3" tint="0.79998168889431442"/>
        </patternFill>
      </fill>
    </dxf>
    <dxf>
      <font>
        <color auto="1"/>
      </font>
      <fill>
        <patternFill>
          <bgColor theme="3" tint="0.79998168889431442"/>
        </patternFill>
      </fill>
    </dxf>
    <dxf>
      <font>
        <color auto="1"/>
      </font>
      <fill>
        <patternFill>
          <bgColor theme="3" tint="0.79998168889431442"/>
        </patternFill>
      </fill>
    </dxf>
    <dxf>
      <font>
        <color auto="1"/>
      </font>
      <fill>
        <patternFill>
          <bgColor theme="3" tint="0.79998168889431442"/>
        </patternFill>
      </fill>
    </dxf>
    <dxf>
      <font>
        <color auto="1"/>
      </font>
      <fill>
        <patternFill>
          <bgColor theme="3" tint="0.79998168889431442"/>
        </patternFill>
      </fill>
    </dxf>
    <dxf>
      <font>
        <color auto="1"/>
      </font>
      <fill>
        <patternFill>
          <bgColor theme="3" tint="0.79998168889431442"/>
        </patternFill>
      </fill>
    </dxf>
    <dxf>
      <font>
        <color auto="1"/>
      </font>
      <fill>
        <patternFill>
          <bgColor theme="3" tint="0.79998168889431442"/>
        </patternFill>
      </fill>
    </dxf>
    <dxf>
      <font>
        <color auto="1"/>
      </font>
      <fill>
        <patternFill>
          <bgColor theme="3" tint="0.79998168889431442"/>
        </patternFill>
      </fill>
    </dxf>
    <dxf>
      <font>
        <b/>
        <i val="0"/>
        <color theme="0"/>
      </font>
      <fill>
        <patternFill>
          <bgColor theme="0" tint="-0.499984740745262"/>
        </patternFill>
      </fill>
    </dxf>
    <dxf>
      <font>
        <b/>
        <i val="0"/>
        <color theme="0"/>
      </font>
      <fill>
        <patternFill>
          <bgColor theme="0" tint="-0.499984740745262"/>
        </patternFill>
      </fill>
    </dxf>
    <dxf>
      <font>
        <b val="0"/>
        <i val="0"/>
        <condense val="0"/>
        <extend val="0"/>
        <color indexed="53"/>
      </font>
    </dxf>
    <dxf>
      <font>
        <b val="0"/>
        <i val="0"/>
        <condense val="0"/>
        <extend val="0"/>
        <color indexed="53"/>
      </font>
    </dxf>
    <dxf>
      <font>
        <b val="0"/>
        <i val="0"/>
        <condense val="0"/>
        <extend val="0"/>
        <color indexed="53"/>
      </font>
    </dxf>
    <dxf>
      <font>
        <b val="0"/>
        <i val="0"/>
        <condense val="0"/>
        <extend val="0"/>
        <color indexed="53"/>
      </font>
    </dxf>
    <dxf>
      <font>
        <b val="0"/>
        <i val="0"/>
        <condense val="0"/>
        <extend val="0"/>
        <color indexed="53"/>
      </font>
    </dxf>
    <dxf>
      <font>
        <b val="0"/>
        <i val="0"/>
        <condense val="0"/>
        <extend val="0"/>
        <color indexed="53"/>
      </font>
    </dxf>
    <dxf>
      <font>
        <color auto="1"/>
      </font>
      <fill>
        <patternFill>
          <bgColor theme="3" tint="0.79998168889431442"/>
        </patternFill>
      </fill>
    </dxf>
  </dxfs>
  <tableStyles count="0" defaultTableStyle="TableStyleMedium9" defaultPivotStyle="PivotStyleLight16"/>
  <colors>
    <mruColors>
      <color rgb="FFCCFFCC"/>
      <color rgb="FF68B4F2"/>
      <color rgb="FF66FFCC"/>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microsoft.com/office/2017/10/relationships/person" Target="persons/person.xml"/></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33</xdr:col>
      <xdr:colOff>0</xdr:colOff>
      <xdr:row>0</xdr:row>
      <xdr:rowOff>0</xdr:rowOff>
    </xdr:from>
    <xdr:to>
      <xdr:col>34</xdr:col>
      <xdr:colOff>95250</xdr:colOff>
      <xdr:row>0</xdr:row>
      <xdr:rowOff>0</xdr:rowOff>
    </xdr:to>
    <xdr:sp macro="" textlink="">
      <xdr:nvSpPr>
        <xdr:cNvPr id="2" name="Text Box 1">
          <a:extLst>
            <a:ext uri="{FF2B5EF4-FFF2-40B4-BE49-F238E27FC236}">
              <a16:creationId xmlns:a16="http://schemas.microsoft.com/office/drawing/2014/main" id="{00000000-0008-0000-0700-000002000000}"/>
            </a:ext>
          </a:extLst>
        </xdr:cNvPr>
        <xdr:cNvSpPr txBox="1">
          <a:spLocks noChangeArrowheads="1"/>
        </xdr:cNvSpPr>
      </xdr:nvSpPr>
      <xdr:spPr bwMode="auto">
        <a:xfrm>
          <a:off x="10372725" y="0"/>
          <a:ext cx="409575" cy="0"/>
        </a:xfrm>
        <a:prstGeom prst="rect">
          <a:avLst/>
        </a:prstGeom>
        <a:solidFill>
          <a:srgbClr val="FFFFFF"/>
        </a:solidFill>
        <a:ln w="9525">
          <a:solidFill>
            <a:srgbClr val="000000"/>
          </a:solidFill>
          <a:miter lim="800000"/>
          <a:headEnd/>
          <a:tailEnd/>
        </a:ln>
      </xdr:spPr>
    </xdr:sp>
    <xdr:clientData/>
  </xdr:twoCellAnchor>
  <xdr:twoCellAnchor>
    <xdr:from>
      <xdr:col>29</xdr:col>
      <xdr:colOff>171450</xdr:colOff>
      <xdr:row>0</xdr:row>
      <xdr:rowOff>0</xdr:rowOff>
    </xdr:from>
    <xdr:to>
      <xdr:col>34</xdr:col>
      <xdr:colOff>95250</xdr:colOff>
      <xdr:row>0</xdr:row>
      <xdr:rowOff>0</xdr:rowOff>
    </xdr:to>
    <xdr:sp macro="" textlink="">
      <xdr:nvSpPr>
        <xdr:cNvPr id="3" name="Text Box 2">
          <a:extLst>
            <a:ext uri="{FF2B5EF4-FFF2-40B4-BE49-F238E27FC236}">
              <a16:creationId xmlns:a16="http://schemas.microsoft.com/office/drawing/2014/main" id="{00000000-0008-0000-0700-000003000000}"/>
            </a:ext>
          </a:extLst>
        </xdr:cNvPr>
        <xdr:cNvSpPr txBox="1">
          <a:spLocks noChangeArrowheads="1"/>
        </xdr:cNvSpPr>
      </xdr:nvSpPr>
      <xdr:spPr bwMode="auto">
        <a:xfrm>
          <a:off x="9286875" y="0"/>
          <a:ext cx="1495425" cy="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es-ES" sz="1000" b="1" i="0" strike="noStrike">
              <a:solidFill>
                <a:srgbClr val="000000"/>
              </a:solidFill>
              <a:latin typeface="Arial"/>
              <a:cs typeface="Arial"/>
            </a:rPr>
            <a:t>0000000000</a:t>
          </a:r>
        </a:p>
      </xdr:txBody>
    </xdr:sp>
    <xdr:clientData/>
  </xdr:twoCellAnchor>
  <xdr:twoCellAnchor>
    <xdr:from>
      <xdr:col>1</xdr:col>
      <xdr:colOff>85725</xdr:colOff>
      <xdr:row>0</xdr:row>
      <xdr:rowOff>0</xdr:rowOff>
    </xdr:from>
    <xdr:to>
      <xdr:col>6</xdr:col>
      <xdr:colOff>161925</xdr:colOff>
      <xdr:row>0</xdr:row>
      <xdr:rowOff>0</xdr:rowOff>
    </xdr:to>
    <xdr:sp macro="" textlink="">
      <xdr:nvSpPr>
        <xdr:cNvPr id="4" name="Line 3">
          <a:extLst>
            <a:ext uri="{FF2B5EF4-FFF2-40B4-BE49-F238E27FC236}">
              <a16:creationId xmlns:a16="http://schemas.microsoft.com/office/drawing/2014/main" id="{00000000-0008-0000-0700-000004000000}"/>
            </a:ext>
          </a:extLst>
        </xdr:cNvPr>
        <xdr:cNvSpPr>
          <a:spLocks noChangeShapeType="1"/>
        </xdr:cNvSpPr>
      </xdr:nvSpPr>
      <xdr:spPr bwMode="auto">
        <a:xfrm>
          <a:off x="400050" y="0"/>
          <a:ext cx="1647825" cy="0"/>
        </a:xfrm>
        <a:prstGeom prst="line">
          <a:avLst/>
        </a:prstGeom>
        <a:noFill/>
        <a:ln w="15875">
          <a:solidFill>
            <a:srgbClr val="000000"/>
          </a:solidFill>
          <a:round/>
          <a:headEnd/>
          <a:tailEnd/>
        </a:ln>
      </xdr:spPr>
    </xdr:sp>
    <xdr:clientData/>
  </xdr:twoCellAnchor>
  <xdr:twoCellAnchor>
    <xdr:from>
      <xdr:col>14</xdr:col>
      <xdr:colOff>85725</xdr:colOff>
      <xdr:row>0</xdr:row>
      <xdr:rowOff>0</xdr:rowOff>
    </xdr:from>
    <xdr:to>
      <xdr:col>19</xdr:col>
      <xdr:colOff>228600</xdr:colOff>
      <xdr:row>0</xdr:row>
      <xdr:rowOff>0</xdr:rowOff>
    </xdr:to>
    <xdr:sp macro="" textlink="">
      <xdr:nvSpPr>
        <xdr:cNvPr id="5" name="Line 4">
          <a:extLst>
            <a:ext uri="{FF2B5EF4-FFF2-40B4-BE49-F238E27FC236}">
              <a16:creationId xmlns:a16="http://schemas.microsoft.com/office/drawing/2014/main" id="{00000000-0008-0000-0700-000005000000}"/>
            </a:ext>
          </a:extLst>
        </xdr:cNvPr>
        <xdr:cNvSpPr>
          <a:spLocks noChangeShapeType="1"/>
        </xdr:cNvSpPr>
      </xdr:nvSpPr>
      <xdr:spPr bwMode="auto">
        <a:xfrm>
          <a:off x="4486275" y="0"/>
          <a:ext cx="1714500" cy="0"/>
        </a:xfrm>
        <a:prstGeom prst="line">
          <a:avLst/>
        </a:prstGeom>
        <a:noFill/>
        <a:ln w="15875">
          <a:solidFill>
            <a:srgbClr val="000000"/>
          </a:solidFill>
          <a:round/>
          <a:headEnd/>
          <a:tailEnd/>
        </a:ln>
      </xdr:spPr>
    </xdr:sp>
    <xdr:clientData/>
  </xdr:twoCellAnchor>
  <xdr:twoCellAnchor>
    <xdr:from>
      <xdr:col>33</xdr:col>
      <xdr:colOff>0</xdr:colOff>
      <xdr:row>0</xdr:row>
      <xdr:rowOff>0</xdr:rowOff>
    </xdr:from>
    <xdr:to>
      <xdr:col>34</xdr:col>
      <xdr:colOff>95250</xdr:colOff>
      <xdr:row>0</xdr:row>
      <xdr:rowOff>0</xdr:rowOff>
    </xdr:to>
    <xdr:sp macro="" textlink="">
      <xdr:nvSpPr>
        <xdr:cNvPr id="6" name="Text Box 5">
          <a:extLst>
            <a:ext uri="{FF2B5EF4-FFF2-40B4-BE49-F238E27FC236}">
              <a16:creationId xmlns:a16="http://schemas.microsoft.com/office/drawing/2014/main" id="{00000000-0008-0000-0700-000006000000}"/>
            </a:ext>
          </a:extLst>
        </xdr:cNvPr>
        <xdr:cNvSpPr txBox="1">
          <a:spLocks noChangeArrowheads="1"/>
        </xdr:cNvSpPr>
      </xdr:nvSpPr>
      <xdr:spPr bwMode="auto">
        <a:xfrm>
          <a:off x="10372725" y="0"/>
          <a:ext cx="409575" cy="0"/>
        </a:xfrm>
        <a:prstGeom prst="rect">
          <a:avLst/>
        </a:prstGeom>
        <a:solidFill>
          <a:srgbClr val="FFFFFF"/>
        </a:solidFill>
        <a:ln w="9525">
          <a:solidFill>
            <a:srgbClr val="000000"/>
          </a:solidFill>
          <a:miter lim="800000"/>
          <a:headEnd/>
          <a:tailEnd/>
        </a:ln>
      </xdr:spPr>
    </xdr:sp>
    <xdr:clientData/>
  </xdr:twoCellAnchor>
  <xdr:twoCellAnchor>
    <xdr:from>
      <xdr:col>30</xdr:col>
      <xdr:colOff>9525</xdr:colOff>
      <xdr:row>0</xdr:row>
      <xdr:rowOff>0</xdr:rowOff>
    </xdr:from>
    <xdr:to>
      <xdr:col>34</xdr:col>
      <xdr:colOff>323850</xdr:colOff>
      <xdr:row>0</xdr:row>
      <xdr:rowOff>0</xdr:rowOff>
    </xdr:to>
    <xdr:sp macro="" textlink="">
      <xdr:nvSpPr>
        <xdr:cNvPr id="7" name="Text Box 6">
          <a:extLst>
            <a:ext uri="{FF2B5EF4-FFF2-40B4-BE49-F238E27FC236}">
              <a16:creationId xmlns:a16="http://schemas.microsoft.com/office/drawing/2014/main" id="{00000000-0008-0000-0700-000007000000}"/>
            </a:ext>
          </a:extLst>
        </xdr:cNvPr>
        <xdr:cNvSpPr txBox="1">
          <a:spLocks noChangeArrowheads="1"/>
        </xdr:cNvSpPr>
      </xdr:nvSpPr>
      <xdr:spPr bwMode="auto">
        <a:xfrm>
          <a:off x="9439275" y="0"/>
          <a:ext cx="1562100" cy="0"/>
        </a:xfrm>
        <a:prstGeom prst="rect">
          <a:avLst/>
        </a:prstGeom>
        <a:solidFill>
          <a:srgbClr val="FFFFFF"/>
        </a:solidFill>
        <a:ln w="9525">
          <a:solidFill>
            <a:srgbClr val="000000"/>
          </a:solidFill>
          <a:miter lim="800000"/>
          <a:headEnd/>
          <a:tailEnd/>
        </a:ln>
      </xdr:spPr>
    </xdr:sp>
    <xdr:clientData/>
  </xdr:twoCellAnchor>
  <xdr:twoCellAnchor>
    <xdr:from>
      <xdr:col>1</xdr:col>
      <xdr:colOff>95250</xdr:colOff>
      <xdr:row>0</xdr:row>
      <xdr:rowOff>0</xdr:rowOff>
    </xdr:from>
    <xdr:to>
      <xdr:col>6</xdr:col>
      <xdr:colOff>171450</xdr:colOff>
      <xdr:row>0</xdr:row>
      <xdr:rowOff>0</xdr:rowOff>
    </xdr:to>
    <xdr:sp macro="" textlink="">
      <xdr:nvSpPr>
        <xdr:cNvPr id="8" name="Line 7">
          <a:extLst>
            <a:ext uri="{FF2B5EF4-FFF2-40B4-BE49-F238E27FC236}">
              <a16:creationId xmlns:a16="http://schemas.microsoft.com/office/drawing/2014/main" id="{00000000-0008-0000-0700-000008000000}"/>
            </a:ext>
          </a:extLst>
        </xdr:cNvPr>
        <xdr:cNvSpPr>
          <a:spLocks noChangeShapeType="1"/>
        </xdr:cNvSpPr>
      </xdr:nvSpPr>
      <xdr:spPr bwMode="auto">
        <a:xfrm>
          <a:off x="409575" y="0"/>
          <a:ext cx="1647825" cy="0"/>
        </a:xfrm>
        <a:prstGeom prst="line">
          <a:avLst/>
        </a:prstGeom>
        <a:noFill/>
        <a:ln w="15875">
          <a:solidFill>
            <a:srgbClr val="000000"/>
          </a:solidFill>
          <a:round/>
          <a:headEnd/>
          <a:tailEnd/>
        </a:ln>
      </xdr:spPr>
    </xdr:sp>
    <xdr:clientData/>
  </xdr:twoCellAnchor>
  <xdr:twoCellAnchor>
    <xdr:from>
      <xdr:col>14</xdr:col>
      <xdr:colOff>209550</xdr:colOff>
      <xdr:row>0</xdr:row>
      <xdr:rowOff>0</xdr:rowOff>
    </xdr:from>
    <xdr:to>
      <xdr:col>20</xdr:col>
      <xdr:colOff>85725</xdr:colOff>
      <xdr:row>0</xdr:row>
      <xdr:rowOff>0</xdr:rowOff>
    </xdr:to>
    <xdr:sp macro="" textlink="">
      <xdr:nvSpPr>
        <xdr:cNvPr id="9" name="Line 8">
          <a:extLst>
            <a:ext uri="{FF2B5EF4-FFF2-40B4-BE49-F238E27FC236}">
              <a16:creationId xmlns:a16="http://schemas.microsoft.com/office/drawing/2014/main" id="{00000000-0008-0000-0700-000009000000}"/>
            </a:ext>
          </a:extLst>
        </xdr:cNvPr>
        <xdr:cNvSpPr>
          <a:spLocks noChangeShapeType="1"/>
        </xdr:cNvSpPr>
      </xdr:nvSpPr>
      <xdr:spPr bwMode="auto">
        <a:xfrm>
          <a:off x="4610100" y="0"/>
          <a:ext cx="1762125" cy="0"/>
        </a:xfrm>
        <a:prstGeom prst="line">
          <a:avLst/>
        </a:prstGeom>
        <a:noFill/>
        <a:ln w="15875">
          <a:solidFill>
            <a:srgbClr val="000000"/>
          </a:solidFill>
          <a:round/>
          <a:headEnd/>
          <a:tailEnd/>
        </a:ln>
      </xdr:spPr>
    </xdr:sp>
    <xdr:clientData/>
  </xdr:twoCellAnchor>
  <xdr:twoCellAnchor>
    <xdr:from>
      <xdr:col>33</xdr:col>
      <xdr:colOff>0</xdr:colOff>
      <xdr:row>0</xdr:row>
      <xdr:rowOff>0</xdr:rowOff>
    </xdr:from>
    <xdr:to>
      <xdr:col>34</xdr:col>
      <xdr:colOff>95250</xdr:colOff>
      <xdr:row>0</xdr:row>
      <xdr:rowOff>0</xdr:rowOff>
    </xdr:to>
    <xdr:sp macro="" textlink="">
      <xdr:nvSpPr>
        <xdr:cNvPr id="10" name="Text Box 9">
          <a:extLst>
            <a:ext uri="{FF2B5EF4-FFF2-40B4-BE49-F238E27FC236}">
              <a16:creationId xmlns:a16="http://schemas.microsoft.com/office/drawing/2014/main" id="{00000000-0008-0000-0700-00000A000000}"/>
            </a:ext>
          </a:extLst>
        </xdr:cNvPr>
        <xdr:cNvSpPr txBox="1">
          <a:spLocks noChangeArrowheads="1"/>
        </xdr:cNvSpPr>
      </xdr:nvSpPr>
      <xdr:spPr bwMode="auto">
        <a:xfrm>
          <a:off x="10372725" y="0"/>
          <a:ext cx="409575" cy="0"/>
        </a:xfrm>
        <a:prstGeom prst="rect">
          <a:avLst/>
        </a:prstGeom>
        <a:solidFill>
          <a:srgbClr val="FFFFFF"/>
        </a:solidFill>
        <a:ln w="9525">
          <a:solidFill>
            <a:srgbClr val="000000"/>
          </a:solidFill>
          <a:miter lim="800000"/>
          <a:headEnd/>
          <a:tailEnd/>
        </a:ln>
      </xdr:spPr>
    </xdr:sp>
    <xdr:clientData/>
  </xdr:twoCellAnchor>
  <xdr:twoCellAnchor>
    <xdr:from>
      <xdr:col>30</xdr:col>
      <xdr:colOff>9525</xdr:colOff>
      <xdr:row>0</xdr:row>
      <xdr:rowOff>0</xdr:rowOff>
    </xdr:from>
    <xdr:to>
      <xdr:col>34</xdr:col>
      <xdr:colOff>323850</xdr:colOff>
      <xdr:row>0</xdr:row>
      <xdr:rowOff>0</xdr:rowOff>
    </xdr:to>
    <xdr:sp macro="" textlink="">
      <xdr:nvSpPr>
        <xdr:cNvPr id="11" name="Text Box 10">
          <a:extLst>
            <a:ext uri="{FF2B5EF4-FFF2-40B4-BE49-F238E27FC236}">
              <a16:creationId xmlns:a16="http://schemas.microsoft.com/office/drawing/2014/main" id="{00000000-0008-0000-0700-00000B000000}"/>
            </a:ext>
          </a:extLst>
        </xdr:cNvPr>
        <xdr:cNvSpPr txBox="1">
          <a:spLocks noChangeArrowheads="1"/>
        </xdr:cNvSpPr>
      </xdr:nvSpPr>
      <xdr:spPr bwMode="auto">
        <a:xfrm>
          <a:off x="9439275" y="0"/>
          <a:ext cx="1562100" cy="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35</xdr:col>
      <xdr:colOff>0</xdr:colOff>
      <xdr:row>0</xdr:row>
      <xdr:rowOff>0</xdr:rowOff>
    </xdr:from>
    <xdr:to>
      <xdr:col>36</xdr:col>
      <xdr:colOff>95250</xdr:colOff>
      <xdr:row>0</xdr:row>
      <xdr:rowOff>0</xdr:rowOff>
    </xdr:to>
    <xdr:sp macro="" textlink="">
      <xdr:nvSpPr>
        <xdr:cNvPr id="2" name="Text Box 1">
          <a:extLst>
            <a:ext uri="{FF2B5EF4-FFF2-40B4-BE49-F238E27FC236}">
              <a16:creationId xmlns:a16="http://schemas.microsoft.com/office/drawing/2014/main" id="{00000000-0008-0000-0600-000002000000}"/>
            </a:ext>
          </a:extLst>
        </xdr:cNvPr>
        <xdr:cNvSpPr txBox="1">
          <a:spLocks noChangeArrowheads="1"/>
        </xdr:cNvSpPr>
      </xdr:nvSpPr>
      <xdr:spPr bwMode="auto">
        <a:xfrm>
          <a:off x="11001375" y="0"/>
          <a:ext cx="409575" cy="0"/>
        </a:xfrm>
        <a:prstGeom prst="rect">
          <a:avLst/>
        </a:prstGeom>
        <a:solidFill>
          <a:srgbClr val="FFFFFF"/>
        </a:solidFill>
        <a:ln w="9525">
          <a:solidFill>
            <a:srgbClr val="000000"/>
          </a:solidFill>
          <a:miter lim="800000"/>
          <a:headEnd/>
          <a:tailEnd/>
        </a:ln>
      </xdr:spPr>
    </xdr:sp>
    <xdr:clientData/>
  </xdr:twoCellAnchor>
  <xdr:twoCellAnchor>
    <xdr:from>
      <xdr:col>32</xdr:col>
      <xdr:colOff>177800</xdr:colOff>
      <xdr:row>0</xdr:row>
      <xdr:rowOff>0</xdr:rowOff>
    </xdr:from>
    <xdr:to>
      <xdr:col>36</xdr:col>
      <xdr:colOff>92115</xdr:colOff>
      <xdr:row>0</xdr:row>
      <xdr:rowOff>0</xdr:rowOff>
    </xdr:to>
    <xdr:sp macro="" textlink="">
      <xdr:nvSpPr>
        <xdr:cNvPr id="3" name="Text Box 2">
          <a:extLst>
            <a:ext uri="{FF2B5EF4-FFF2-40B4-BE49-F238E27FC236}">
              <a16:creationId xmlns:a16="http://schemas.microsoft.com/office/drawing/2014/main" id="{00000000-0008-0000-0600-000003000000}"/>
            </a:ext>
          </a:extLst>
        </xdr:cNvPr>
        <xdr:cNvSpPr txBox="1">
          <a:spLocks noChangeArrowheads="1"/>
        </xdr:cNvSpPr>
      </xdr:nvSpPr>
      <xdr:spPr bwMode="auto">
        <a:xfrm>
          <a:off x="10236200" y="0"/>
          <a:ext cx="1171615" cy="0"/>
        </a:xfrm>
        <a:prstGeom prst="rect">
          <a:avLst/>
        </a:prstGeom>
        <a:solidFill>
          <a:srgbClr val="FFFFFF"/>
        </a:solidFill>
        <a:ln w="9525">
          <a:solidFill>
            <a:srgbClr val="000000"/>
          </a:solidFill>
          <a:miter lim="800000"/>
          <a:headEnd/>
          <a:tailEnd/>
        </a:ln>
      </xdr:spPr>
      <xdr:txBody>
        <a:bodyPr vertOverflow="clip" wrap="square" lIns="27432" tIns="22860" rIns="27432" bIns="0" anchor="t" upright="1"/>
        <a:lstStyle/>
        <a:p>
          <a:pPr algn="ctr" rtl="0">
            <a:defRPr sz="1000"/>
          </a:pPr>
          <a:r>
            <a:rPr lang="es-ES" sz="1000" b="1" i="0" strike="noStrike">
              <a:solidFill>
                <a:srgbClr val="000000"/>
              </a:solidFill>
              <a:latin typeface="Arial"/>
              <a:cs typeface="Arial"/>
            </a:rPr>
            <a:t>0000000000</a:t>
          </a:r>
        </a:p>
      </xdr:txBody>
    </xdr:sp>
    <xdr:clientData/>
  </xdr:twoCellAnchor>
  <xdr:twoCellAnchor>
    <xdr:from>
      <xdr:col>1</xdr:col>
      <xdr:colOff>85725</xdr:colOff>
      <xdr:row>0</xdr:row>
      <xdr:rowOff>0</xdr:rowOff>
    </xdr:from>
    <xdr:to>
      <xdr:col>6</xdr:col>
      <xdr:colOff>161925</xdr:colOff>
      <xdr:row>0</xdr:row>
      <xdr:rowOff>0</xdr:rowOff>
    </xdr:to>
    <xdr:sp macro="" textlink="">
      <xdr:nvSpPr>
        <xdr:cNvPr id="4" name="Line 3">
          <a:extLst>
            <a:ext uri="{FF2B5EF4-FFF2-40B4-BE49-F238E27FC236}">
              <a16:creationId xmlns:a16="http://schemas.microsoft.com/office/drawing/2014/main" id="{00000000-0008-0000-0600-000004000000}"/>
            </a:ext>
          </a:extLst>
        </xdr:cNvPr>
        <xdr:cNvSpPr>
          <a:spLocks noChangeShapeType="1"/>
        </xdr:cNvSpPr>
      </xdr:nvSpPr>
      <xdr:spPr bwMode="auto">
        <a:xfrm>
          <a:off x="400050" y="0"/>
          <a:ext cx="1647825" cy="0"/>
        </a:xfrm>
        <a:prstGeom prst="line">
          <a:avLst/>
        </a:prstGeom>
        <a:noFill/>
        <a:ln w="15875">
          <a:solidFill>
            <a:srgbClr val="000000"/>
          </a:solidFill>
          <a:round/>
          <a:headEnd/>
          <a:tailEnd/>
        </a:ln>
      </xdr:spPr>
    </xdr:sp>
    <xdr:clientData/>
  </xdr:twoCellAnchor>
  <xdr:twoCellAnchor>
    <xdr:from>
      <xdr:col>14</xdr:col>
      <xdr:colOff>85725</xdr:colOff>
      <xdr:row>0</xdr:row>
      <xdr:rowOff>0</xdr:rowOff>
    </xdr:from>
    <xdr:to>
      <xdr:col>19</xdr:col>
      <xdr:colOff>228600</xdr:colOff>
      <xdr:row>0</xdr:row>
      <xdr:rowOff>0</xdr:rowOff>
    </xdr:to>
    <xdr:sp macro="" textlink="">
      <xdr:nvSpPr>
        <xdr:cNvPr id="5" name="Line 4">
          <a:extLst>
            <a:ext uri="{FF2B5EF4-FFF2-40B4-BE49-F238E27FC236}">
              <a16:creationId xmlns:a16="http://schemas.microsoft.com/office/drawing/2014/main" id="{00000000-0008-0000-0600-000005000000}"/>
            </a:ext>
          </a:extLst>
        </xdr:cNvPr>
        <xdr:cNvSpPr>
          <a:spLocks noChangeShapeType="1"/>
        </xdr:cNvSpPr>
      </xdr:nvSpPr>
      <xdr:spPr bwMode="auto">
        <a:xfrm>
          <a:off x="4486275" y="0"/>
          <a:ext cx="1714500" cy="0"/>
        </a:xfrm>
        <a:prstGeom prst="line">
          <a:avLst/>
        </a:prstGeom>
        <a:noFill/>
        <a:ln w="15875">
          <a:solidFill>
            <a:srgbClr val="000000"/>
          </a:solidFill>
          <a:round/>
          <a:headEnd/>
          <a:tailEnd/>
        </a:ln>
      </xdr:spPr>
    </xdr:sp>
    <xdr:clientData/>
  </xdr:twoCellAnchor>
  <xdr:twoCellAnchor>
    <xdr:from>
      <xdr:col>35</xdr:col>
      <xdr:colOff>0</xdr:colOff>
      <xdr:row>0</xdr:row>
      <xdr:rowOff>0</xdr:rowOff>
    </xdr:from>
    <xdr:to>
      <xdr:col>36</xdr:col>
      <xdr:colOff>95250</xdr:colOff>
      <xdr:row>0</xdr:row>
      <xdr:rowOff>0</xdr:rowOff>
    </xdr:to>
    <xdr:sp macro="" textlink="">
      <xdr:nvSpPr>
        <xdr:cNvPr id="6" name="Text Box 5">
          <a:extLst>
            <a:ext uri="{FF2B5EF4-FFF2-40B4-BE49-F238E27FC236}">
              <a16:creationId xmlns:a16="http://schemas.microsoft.com/office/drawing/2014/main" id="{00000000-0008-0000-0600-000006000000}"/>
            </a:ext>
          </a:extLst>
        </xdr:cNvPr>
        <xdr:cNvSpPr txBox="1">
          <a:spLocks noChangeArrowheads="1"/>
        </xdr:cNvSpPr>
      </xdr:nvSpPr>
      <xdr:spPr bwMode="auto">
        <a:xfrm>
          <a:off x="11001375" y="0"/>
          <a:ext cx="409575" cy="0"/>
        </a:xfrm>
        <a:prstGeom prst="rect">
          <a:avLst/>
        </a:prstGeom>
        <a:solidFill>
          <a:srgbClr val="FFFFFF"/>
        </a:solidFill>
        <a:ln w="9525">
          <a:solidFill>
            <a:srgbClr val="000000"/>
          </a:solidFill>
          <a:miter lim="800000"/>
          <a:headEnd/>
          <a:tailEnd/>
        </a:ln>
      </xdr:spPr>
    </xdr:sp>
    <xdr:clientData/>
  </xdr:twoCellAnchor>
  <xdr:twoCellAnchor>
    <xdr:from>
      <xdr:col>33</xdr:col>
      <xdr:colOff>9525</xdr:colOff>
      <xdr:row>0</xdr:row>
      <xdr:rowOff>0</xdr:rowOff>
    </xdr:from>
    <xdr:to>
      <xdr:col>36</xdr:col>
      <xdr:colOff>323850</xdr:colOff>
      <xdr:row>0</xdr:row>
      <xdr:rowOff>0</xdr:rowOff>
    </xdr:to>
    <xdr:sp macro="" textlink="">
      <xdr:nvSpPr>
        <xdr:cNvPr id="7" name="Text Box 6">
          <a:extLst>
            <a:ext uri="{FF2B5EF4-FFF2-40B4-BE49-F238E27FC236}">
              <a16:creationId xmlns:a16="http://schemas.microsoft.com/office/drawing/2014/main" id="{00000000-0008-0000-0600-000007000000}"/>
            </a:ext>
          </a:extLst>
        </xdr:cNvPr>
        <xdr:cNvSpPr txBox="1">
          <a:spLocks noChangeArrowheads="1"/>
        </xdr:cNvSpPr>
      </xdr:nvSpPr>
      <xdr:spPr bwMode="auto">
        <a:xfrm>
          <a:off x="10382250" y="0"/>
          <a:ext cx="1247775" cy="0"/>
        </a:xfrm>
        <a:prstGeom prst="rect">
          <a:avLst/>
        </a:prstGeom>
        <a:solidFill>
          <a:srgbClr val="FFFFFF"/>
        </a:solidFill>
        <a:ln w="9525">
          <a:solidFill>
            <a:srgbClr val="000000"/>
          </a:solidFill>
          <a:miter lim="800000"/>
          <a:headEnd/>
          <a:tailEnd/>
        </a:ln>
      </xdr:spPr>
    </xdr:sp>
    <xdr:clientData/>
  </xdr:twoCellAnchor>
  <xdr:twoCellAnchor>
    <xdr:from>
      <xdr:col>1</xdr:col>
      <xdr:colOff>95250</xdr:colOff>
      <xdr:row>0</xdr:row>
      <xdr:rowOff>0</xdr:rowOff>
    </xdr:from>
    <xdr:to>
      <xdr:col>6</xdr:col>
      <xdr:colOff>171450</xdr:colOff>
      <xdr:row>0</xdr:row>
      <xdr:rowOff>0</xdr:rowOff>
    </xdr:to>
    <xdr:sp macro="" textlink="">
      <xdr:nvSpPr>
        <xdr:cNvPr id="8" name="Line 7">
          <a:extLst>
            <a:ext uri="{FF2B5EF4-FFF2-40B4-BE49-F238E27FC236}">
              <a16:creationId xmlns:a16="http://schemas.microsoft.com/office/drawing/2014/main" id="{00000000-0008-0000-0600-000008000000}"/>
            </a:ext>
          </a:extLst>
        </xdr:cNvPr>
        <xdr:cNvSpPr>
          <a:spLocks noChangeShapeType="1"/>
        </xdr:cNvSpPr>
      </xdr:nvSpPr>
      <xdr:spPr bwMode="auto">
        <a:xfrm>
          <a:off x="409575" y="0"/>
          <a:ext cx="1647825" cy="0"/>
        </a:xfrm>
        <a:prstGeom prst="line">
          <a:avLst/>
        </a:prstGeom>
        <a:noFill/>
        <a:ln w="15875">
          <a:solidFill>
            <a:srgbClr val="000000"/>
          </a:solidFill>
          <a:round/>
          <a:headEnd/>
          <a:tailEnd/>
        </a:ln>
      </xdr:spPr>
    </xdr:sp>
    <xdr:clientData/>
  </xdr:twoCellAnchor>
  <xdr:twoCellAnchor>
    <xdr:from>
      <xdr:col>14</xdr:col>
      <xdr:colOff>209550</xdr:colOff>
      <xdr:row>0</xdr:row>
      <xdr:rowOff>0</xdr:rowOff>
    </xdr:from>
    <xdr:to>
      <xdr:col>20</xdr:col>
      <xdr:colOff>85725</xdr:colOff>
      <xdr:row>0</xdr:row>
      <xdr:rowOff>0</xdr:rowOff>
    </xdr:to>
    <xdr:sp macro="" textlink="">
      <xdr:nvSpPr>
        <xdr:cNvPr id="9" name="Line 8">
          <a:extLst>
            <a:ext uri="{FF2B5EF4-FFF2-40B4-BE49-F238E27FC236}">
              <a16:creationId xmlns:a16="http://schemas.microsoft.com/office/drawing/2014/main" id="{00000000-0008-0000-0600-000009000000}"/>
            </a:ext>
          </a:extLst>
        </xdr:cNvPr>
        <xdr:cNvSpPr>
          <a:spLocks noChangeShapeType="1"/>
        </xdr:cNvSpPr>
      </xdr:nvSpPr>
      <xdr:spPr bwMode="auto">
        <a:xfrm>
          <a:off x="4610100" y="0"/>
          <a:ext cx="1762125" cy="0"/>
        </a:xfrm>
        <a:prstGeom prst="line">
          <a:avLst/>
        </a:prstGeom>
        <a:noFill/>
        <a:ln w="15875">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6517</xdr:colOff>
      <xdr:row>4</xdr:row>
      <xdr:rowOff>0</xdr:rowOff>
    </xdr:from>
    <xdr:to>
      <xdr:col>13</xdr:col>
      <xdr:colOff>6517</xdr:colOff>
      <xdr:row>4</xdr:row>
      <xdr:rowOff>2507</xdr:rowOff>
    </xdr:to>
    <xdr:sp macro="" textlink="">
      <xdr:nvSpPr>
        <xdr:cNvPr id="2" name="AutoShape 109">
          <a:extLst>
            <a:ext uri="{FF2B5EF4-FFF2-40B4-BE49-F238E27FC236}">
              <a16:creationId xmlns:a16="http://schemas.microsoft.com/office/drawing/2014/main" id="{00000000-0008-0000-0100-000002000000}"/>
            </a:ext>
          </a:extLst>
        </xdr:cNvPr>
        <xdr:cNvSpPr>
          <a:spLocks noChangeArrowheads="1"/>
        </xdr:cNvSpPr>
      </xdr:nvSpPr>
      <xdr:spPr bwMode="auto">
        <a:xfrm>
          <a:off x="11065042" y="1200150"/>
          <a:ext cx="0" cy="2507"/>
        </a:xfrm>
        <a:prstGeom prst="bevel">
          <a:avLst>
            <a:gd name="adj" fmla="val 12500"/>
          </a:avLst>
        </a:prstGeom>
        <a:noFill/>
        <a:ln w="9525">
          <a:solidFill>
            <a:srgbClr val="000000"/>
          </a:solidFill>
          <a:miter lim="800000"/>
          <a:headEnd/>
          <a:tailEnd/>
        </a:ln>
      </xdr:spPr>
      <xdr:txBody>
        <a:bodyPr vertOverflow="clip" wrap="square" lIns="27432" tIns="22860" rIns="27432" bIns="0" anchor="t" upright="1"/>
        <a:lstStyle/>
        <a:p>
          <a:pPr algn="ctr" rtl="1">
            <a:defRPr sz="1000"/>
          </a:pPr>
          <a:r>
            <a:rPr lang="es-ES" sz="900" b="0" i="0" strike="noStrike">
              <a:solidFill>
                <a:srgbClr val="000000"/>
              </a:solidFill>
              <a:latin typeface="Arial"/>
              <a:cs typeface="Arial"/>
            </a:rPr>
            <a:t>Buscar</a:t>
          </a:r>
        </a:p>
      </xdr:txBody>
    </xdr:sp>
    <xdr:clientData/>
  </xdr:twoCellAnchor>
  <xdr:twoCellAnchor>
    <xdr:from>
      <xdr:col>6</xdr:col>
      <xdr:colOff>6517</xdr:colOff>
      <xdr:row>4</xdr:row>
      <xdr:rowOff>0</xdr:rowOff>
    </xdr:from>
    <xdr:to>
      <xdr:col>6</xdr:col>
      <xdr:colOff>6517</xdr:colOff>
      <xdr:row>4</xdr:row>
      <xdr:rowOff>2507</xdr:rowOff>
    </xdr:to>
    <xdr:sp macro="" textlink="">
      <xdr:nvSpPr>
        <xdr:cNvPr id="3" name="AutoShape 109">
          <a:extLst>
            <a:ext uri="{FF2B5EF4-FFF2-40B4-BE49-F238E27FC236}">
              <a16:creationId xmlns:a16="http://schemas.microsoft.com/office/drawing/2014/main" id="{00000000-0008-0000-0100-000003000000}"/>
            </a:ext>
          </a:extLst>
        </xdr:cNvPr>
        <xdr:cNvSpPr>
          <a:spLocks noChangeArrowheads="1"/>
        </xdr:cNvSpPr>
      </xdr:nvSpPr>
      <xdr:spPr bwMode="auto">
        <a:xfrm>
          <a:off x="5588167" y="1200150"/>
          <a:ext cx="0" cy="2507"/>
        </a:xfrm>
        <a:prstGeom prst="bevel">
          <a:avLst>
            <a:gd name="adj" fmla="val 12500"/>
          </a:avLst>
        </a:prstGeom>
        <a:noFill/>
        <a:ln w="9525">
          <a:solidFill>
            <a:srgbClr val="000000"/>
          </a:solidFill>
          <a:miter lim="800000"/>
          <a:headEnd/>
          <a:tailEnd/>
        </a:ln>
      </xdr:spPr>
      <xdr:txBody>
        <a:bodyPr vertOverflow="clip" wrap="square" lIns="27432" tIns="22860" rIns="27432" bIns="0" anchor="t" upright="1"/>
        <a:lstStyle/>
        <a:p>
          <a:pPr algn="ctr" rtl="1">
            <a:defRPr sz="1000"/>
          </a:pPr>
          <a:r>
            <a:rPr lang="es-ES" sz="900" b="0" i="0" strike="noStrike">
              <a:solidFill>
                <a:srgbClr val="000000"/>
              </a:solidFill>
              <a:latin typeface="Arial"/>
              <a:cs typeface="Arial"/>
            </a:rPr>
            <a:t>Buscar</a:t>
          </a:r>
        </a:p>
      </xdr:txBody>
    </xdr:sp>
    <xdr:clientData/>
  </xdr:twoCellAnchor>
  <xdr:twoCellAnchor>
    <xdr:from>
      <xdr:col>3</xdr:col>
      <xdr:colOff>6517</xdr:colOff>
      <xdr:row>4</xdr:row>
      <xdr:rowOff>0</xdr:rowOff>
    </xdr:from>
    <xdr:to>
      <xdr:col>3</xdr:col>
      <xdr:colOff>6517</xdr:colOff>
      <xdr:row>4</xdr:row>
      <xdr:rowOff>2507</xdr:rowOff>
    </xdr:to>
    <xdr:sp macro="" textlink="">
      <xdr:nvSpPr>
        <xdr:cNvPr id="4" name="AutoShape 109">
          <a:extLst>
            <a:ext uri="{FF2B5EF4-FFF2-40B4-BE49-F238E27FC236}">
              <a16:creationId xmlns:a16="http://schemas.microsoft.com/office/drawing/2014/main" id="{00000000-0008-0000-0100-000004000000}"/>
            </a:ext>
          </a:extLst>
        </xdr:cNvPr>
        <xdr:cNvSpPr>
          <a:spLocks noChangeArrowheads="1"/>
        </xdr:cNvSpPr>
      </xdr:nvSpPr>
      <xdr:spPr bwMode="auto">
        <a:xfrm>
          <a:off x="3930817" y="1200150"/>
          <a:ext cx="0" cy="2507"/>
        </a:xfrm>
        <a:prstGeom prst="bevel">
          <a:avLst>
            <a:gd name="adj" fmla="val 12500"/>
          </a:avLst>
        </a:prstGeom>
        <a:noFill/>
        <a:ln w="9525">
          <a:solidFill>
            <a:srgbClr val="000000"/>
          </a:solidFill>
          <a:miter lim="800000"/>
          <a:headEnd/>
          <a:tailEnd/>
        </a:ln>
      </xdr:spPr>
      <xdr:txBody>
        <a:bodyPr vertOverflow="clip" wrap="square" lIns="27432" tIns="22860" rIns="27432" bIns="0" anchor="t" upright="1"/>
        <a:lstStyle/>
        <a:p>
          <a:pPr algn="ctr" rtl="1">
            <a:defRPr sz="1000"/>
          </a:pPr>
          <a:r>
            <a:rPr lang="es-ES" sz="900" b="0" i="0" strike="noStrike">
              <a:solidFill>
                <a:srgbClr val="000000"/>
              </a:solidFill>
              <a:latin typeface="Arial"/>
              <a:cs typeface="Arial"/>
            </a:rPr>
            <a:t>Buscar</a:t>
          </a:r>
        </a:p>
      </xdr:txBody>
    </xdr:sp>
    <xdr:clientData/>
  </xdr:twoCellAnchor>
  <xdr:twoCellAnchor>
    <xdr:from>
      <xdr:col>3</xdr:col>
      <xdr:colOff>6517</xdr:colOff>
      <xdr:row>4</xdr:row>
      <xdr:rowOff>0</xdr:rowOff>
    </xdr:from>
    <xdr:to>
      <xdr:col>3</xdr:col>
      <xdr:colOff>6517</xdr:colOff>
      <xdr:row>4</xdr:row>
      <xdr:rowOff>2507</xdr:rowOff>
    </xdr:to>
    <xdr:sp macro="" textlink="">
      <xdr:nvSpPr>
        <xdr:cNvPr id="5" name="AutoShape 109">
          <a:extLst>
            <a:ext uri="{FF2B5EF4-FFF2-40B4-BE49-F238E27FC236}">
              <a16:creationId xmlns:a16="http://schemas.microsoft.com/office/drawing/2014/main" id="{00000000-0008-0000-0100-000005000000}"/>
            </a:ext>
          </a:extLst>
        </xdr:cNvPr>
        <xdr:cNvSpPr>
          <a:spLocks noChangeArrowheads="1"/>
        </xdr:cNvSpPr>
      </xdr:nvSpPr>
      <xdr:spPr bwMode="auto">
        <a:xfrm>
          <a:off x="3930817" y="1200150"/>
          <a:ext cx="0" cy="2507"/>
        </a:xfrm>
        <a:prstGeom prst="bevel">
          <a:avLst>
            <a:gd name="adj" fmla="val 12500"/>
          </a:avLst>
        </a:prstGeom>
        <a:noFill/>
        <a:ln w="9525">
          <a:solidFill>
            <a:srgbClr val="000000"/>
          </a:solidFill>
          <a:miter lim="800000"/>
          <a:headEnd/>
          <a:tailEnd/>
        </a:ln>
      </xdr:spPr>
      <xdr:txBody>
        <a:bodyPr vertOverflow="clip" wrap="square" lIns="27432" tIns="22860" rIns="27432" bIns="0" anchor="t" upright="1"/>
        <a:lstStyle/>
        <a:p>
          <a:pPr algn="ctr" rtl="1">
            <a:defRPr sz="1000"/>
          </a:pPr>
          <a:r>
            <a:rPr lang="es-ES" sz="900" b="0" i="0" strike="noStrike">
              <a:solidFill>
                <a:srgbClr val="000000"/>
              </a:solidFill>
              <a:latin typeface="Arial"/>
              <a:cs typeface="Arial"/>
            </a:rPr>
            <a:t>Buscar</a:t>
          </a:r>
        </a:p>
      </xdr:txBody>
    </xdr:sp>
    <xdr:clientData/>
  </xdr:twoCellAnchor>
  <xdr:twoCellAnchor>
    <xdr:from>
      <xdr:col>3</xdr:col>
      <xdr:colOff>6517</xdr:colOff>
      <xdr:row>4</xdr:row>
      <xdr:rowOff>0</xdr:rowOff>
    </xdr:from>
    <xdr:to>
      <xdr:col>3</xdr:col>
      <xdr:colOff>6517</xdr:colOff>
      <xdr:row>4</xdr:row>
      <xdr:rowOff>2507</xdr:rowOff>
    </xdr:to>
    <xdr:sp macro="" textlink="">
      <xdr:nvSpPr>
        <xdr:cNvPr id="6" name="AutoShape 109">
          <a:extLst>
            <a:ext uri="{FF2B5EF4-FFF2-40B4-BE49-F238E27FC236}">
              <a16:creationId xmlns:a16="http://schemas.microsoft.com/office/drawing/2014/main" id="{00000000-0008-0000-0100-000006000000}"/>
            </a:ext>
          </a:extLst>
        </xdr:cNvPr>
        <xdr:cNvSpPr>
          <a:spLocks noChangeArrowheads="1"/>
        </xdr:cNvSpPr>
      </xdr:nvSpPr>
      <xdr:spPr bwMode="auto">
        <a:xfrm>
          <a:off x="3930817" y="1200150"/>
          <a:ext cx="0" cy="2507"/>
        </a:xfrm>
        <a:prstGeom prst="bevel">
          <a:avLst>
            <a:gd name="adj" fmla="val 12500"/>
          </a:avLst>
        </a:prstGeom>
        <a:noFill/>
        <a:ln w="9525">
          <a:solidFill>
            <a:srgbClr val="000000"/>
          </a:solidFill>
          <a:miter lim="800000"/>
          <a:headEnd/>
          <a:tailEnd/>
        </a:ln>
      </xdr:spPr>
      <xdr:txBody>
        <a:bodyPr vertOverflow="clip" wrap="square" lIns="27432" tIns="22860" rIns="27432" bIns="0" anchor="t" upright="1"/>
        <a:lstStyle/>
        <a:p>
          <a:pPr algn="ctr" rtl="1">
            <a:defRPr sz="1000"/>
          </a:pPr>
          <a:r>
            <a:rPr lang="es-ES" sz="900" b="0" i="0" strike="noStrike">
              <a:solidFill>
                <a:srgbClr val="000000"/>
              </a:solidFill>
              <a:latin typeface="Arial"/>
              <a:cs typeface="Arial"/>
            </a:rPr>
            <a:t>Buscar</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6517</xdr:colOff>
      <xdr:row>4</xdr:row>
      <xdr:rowOff>0</xdr:rowOff>
    </xdr:from>
    <xdr:to>
      <xdr:col>3</xdr:col>
      <xdr:colOff>6517</xdr:colOff>
      <xdr:row>4</xdr:row>
      <xdr:rowOff>2507</xdr:rowOff>
    </xdr:to>
    <xdr:sp macro="" textlink="">
      <xdr:nvSpPr>
        <xdr:cNvPr id="2" name="AutoShape 109">
          <a:extLst>
            <a:ext uri="{FF2B5EF4-FFF2-40B4-BE49-F238E27FC236}">
              <a16:creationId xmlns:a16="http://schemas.microsoft.com/office/drawing/2014/main" id="{00000000-0008-0000-0300-000002000000}"/>
            </a:ext>
          </a:extLst>
        </xdr:cNvPr>
        <xdr:cNvSpPr>
          <a:spLocks noChangeArrowheads="1"/>
        </xdr:cNvSpPr>
      </xdr:nvSpPr>
      <xdr:spPr bwMode="auto">
        <a:xfrm>
          <a:off x="4445167" y="1200150"/>
          <a:ext cx="0" cy="2507"/>
        </a:xfrm>
        <a:prstGeom prst="bevel">
          <a:avLst>
            <a:gd name="adj" fmla="val 12500"/>
          </a:avLst>
        </a:prstGeom>
        <a:noFill/>
        <a:ln w="9525">
          <a:solidFill>
            <a:srgbClr val="000000"/>
          </a:solidFill>
          <a:miter lim="800000"/>
          <a:headEnd/>
          <a:tailEnd/>
        </a:ln>
      </xdr:spPr>
      <xdr:txBody>
        <a:bodyPr vertOverflow="clip" wrap="square" lIns="27432" tIns="22860" rIns="27432" bIns="0" anchor="t" upright="1"/>
        <a:lstStyle/>
        <a:p>
          <a:pPr algn="ctr" rtl="1">
            <a:defRPr sz="1000"/>
          </a:pPr>
          <a:r>
            <a:rPr lang="es-ES" sz="900" b="0" i="0" strike="noStrike">
              <a:solidFill>
                <a:srgbClr val="000000"/>
              </a:solidFill>
              <a:latin typeface="Arial"/>
              <a:cs typeface="Arial"/>
            </a:rPr>
            <a:t>Buscar</a:t>
          </a:r>
        </a:p>
      </xdr:txBody>
    </xdr:sp>
    <xdr:clientData/>
  </xdr:twoCellAnchor>
  <xdr:twoCellAnchor>
    <xdr:from>
      <xdr:col>3</xdr:col>
      <xdr:colOff>6517</xdr:colOff>
      <xdr:row>4</xdr:row>
      <xdr:rowOff>0</xdr:rowOff>
    </xdr:from>
    <xdr:to>
      <xdr:col>3</xdr:col>
      <xdr:colOff>6517</xdr:colOff>
      <xdr:row>4</xdr:row>
      <xdr:rowOff>2507</xdr:rowOff>
    </xdr:to>
    <xdr:sp macro="" textlink="">
      <xdr:nvSpPr>
        <xdr:cNvPr id="3" name="AutoShape 109">
          <a:extLst>
            <a:ext uri="{FF2B5EF4-FFF2-40B4-BE49-F238E27FC236}">
              <a16:creationId xmlns:a16="http://schemas.microsoft.com/office/drawing/2014/main" id="{00000000-0008-0000-0300-000003000000}"/>
            </a:ext>
          </a:extLst>
        </xdr:cNvPr>
        <xdr:cNvSpPr>
          <a:spLocks noChangeArrowheads="1"/>
        </xdr:cNvSpPr>
      </xdr:nvSpPr>
      <xdr:spPr bwMode="auto">
        <a:xfrm>
          <a:off x="4445167" y="1200150"/>
          <a:ext cx="0" cy="2507"/>
        </a:xfrm>
        <a:prstGeom prst="bevel">
          <a:avLst>
            <a:gd name="adj" fmla="val 12500"/>
          </a:avLst>
        </a:prstGeom>
        <a:noFill/>
        <a:ln w="9525">
          <a:solidFill>
            <a:srgbClr val="000000"/>
          </a:solidFill>
          <a:miter lim="800000"/>
          <a:headEnd/>
          <a:tailEnd/>
        </a:ln>
      </xdr:spPr>
      <xdr:txBody>
        <a:bodyPr vertOverflow="clip" wrap="square" lIns="27432" tIns="22860" rIns="27432" bIns="0" anchor="t" upright="1"/>
        <a:lstStyle/>
        <a:p>
          <a:pPr algn="ctr" rtl="1">
            <a:defRPr sz="1000"/>
          </a:pPr>
          <a:r>
            <a:rPr lang="es-ES" sz="900" b="0" i="0" strike="noStrike">
              <a:solidFill>
                <a:srgbClr val="000000"/>
              </a:solidFill>
              <a:latin typeface="Arial"/>
              <a:cs typeface="Arial"/>
            </a:rPr>
            <a:t>Buscar</a:t>
          </a:r>
        </a:p>
      </xdr:txBody>
    </xdr:sp>
    <xdr:clientData/>
  </xdr:twoCellAnchor>
  <xdr:twoCellAnchor>
    <xdr:from>
      <xdr:col>3</xdr:col>
      <xdr:colOff>6517</xdr:colOff>
      <xdr:row>4</xdr:row>
      <xdr:rowOff>0</xdr:rowOff>
    </xdr:from>
    <xdr:to>
      <xdr:col>3</xdr:col>
      <xdr:colOff>6517</xdr:colOff>
      <xdr:row>4</xdr:row>
      <xdr:rowOff>2507</xdr:rowOff>
    </xdr:to>
    <xdr:sp macro="" textlink="">
      <xdr:nvSpPr>
        <xdr:cNvPr id="4" name="AutoShape 109">
          <a:extLst>
            <a:ext uri="{FF2B5EF4-FFF2-40B4-BE49-F238E27FC236}">
              <a16:creationId xmlns:a16="http://schemas.microsoft.com/office/drawing/2014/main" id="{00000000-0008-0000-0300-000004000000}"/>
            </a:ext>
          </a:extLst>
        </xdr:cNvPr>
        <xdr:cNvSpPr>
          <a:spLocks noChangeArrowheads="1"/>
        </xdr:cNvSpPr>
      </xdr:nvSpPr>
      <xdr:spPr bwMode="auto">
        <a:xfrm>
          <a:off x="4445167" y="1200150"/>
          <a:ext cx="0" cy="2507"/>
        </a:xfrm>
        <a:prstGeom prst="bevel">
          <a:avLst>
            <a:gd name="adj" fmla="val 12500"/>
          </a:avLst>
        </a:prstGeom>
        <a:noFill/>
        <a:ln w="9525">
          <a:solidFill>
            <a:srgbClr val="000000"/>
          </a:solidFill>
          <a:miter lim="800000"/>
          <a:headEnd/>
          <a:tailEnd/>
        </a:ln>
      </xdr:spPr>
      <xdr:txBody>
        <a:bodyPr vertOverflow="clip" wrap="square" lIns="27432" tIns="22860" rIns="27432" bIns="0" anchor="t" upright="1"/>
        <a:lstStyle/>
        <a:p>
          <a:pPr algn="ctr" rtl="1">
            <a:defRPr sz="1000"/>
          </a:pPr>
          <a:r>
            <a:rPr lang="es-ES" sz="900" b="0" i="0" strike="noStrike">
              <a:solidFill>
                <a:srgbClr val="000000"/>
              </a:solidFill>
              <a:latin typeface="Arial"/>
              <a:cs typeface="Arial"/>
            </a:rPr>
            <a:t>Buscar</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26</xdr:col>
      <xdr:colOff>6517</xdr:colOff>
      <xdr:row>3</xdr:row>
      <xdr:rowOff>285750</xdr:rowOff>
    </xdr:from>
    <xdr:to>
      <xdr:col>26</xdr:col>
      <xdr:colOff>6517</xdr:colOff>
      <xdr:row>5</xdr:row>
      <xdr:rowOff>2507</xdr:rowOff>
    </xdr:to>
    <xdr:sp macro="" textlink="">
      <xdr:nvSpPr>
        <xdr:cNvPr id="2" name="AutoShape 109">
          <a:extLst>
            <a:ext uri="{FF2B5EF4-FFF2-40B4-BE49-F238E27FC236}">
              <a16:creationId xmlns:a16="http://schemas.microsoft.com/office/drawing/2014/main" id="{00000000-0008-0000-0200-000002000000}"/>
            </a:ext>
          </a:extLst>
        </xdr:cNvPr>
        <xdr:cNvSpPr>
          <a:spLocks noChangeArrowheads="1"/>
        </xdr:cNvSpPr>
      </xdr:nvSpPr>
      <xdr:spPr bwMode="auto">
        <a:xfrm>
          <a:off x="17561092" y="1190625"/>
          <a:ext cx="0" cy="12032"/>
        </a:xfrm>
        <a:prstGeom prst="bevel">
          <a:avLst>
            <a:gd name="adj" fmla="val 12500"/>
          </a:avLst>
        </a:prstGeom>
        <a:noFill/>
        <a:ln w="9525">
          <a:solidFill>
            <a:srgbClr val="000000"/>
          </a:solidFill>
          <a:miter lim="800000"/>
          <a:headEnd/>
          <a:tailEnd/>
        </a:ln>
      </xdr:spPr>
      <xdr:txBody>
        <a:bodyPr vertOverflow="clip" wrap="square" lIns="27432" tIns="22860" rIns="27432" bIns="0" anchor="t" upright="1"/>
        <a:lstStyle/>
        <a:p>
          <a:pPr algn="ctr" rtl="1">
            <a:defRPr sz="1000"/>
          </a:pPr>
          <a:r>
            <a:rPr lang="es-ES" sz="900" b="0" i="0" strike="noStrike">
              <a:solidFill>
                <a:srgbClr val="000000"/>
              </a:solidFill>
              <a:latin typeface="Arial"/>
              <a:cs typeface="Arial"/>
            </a:rPr>
            <a:t>Buscar</a:t>
          </a:r>
        </a:p>
      </xdr:txBody>
    </xdr:sp>
    <xdr:clientData/>
  </xdr:twoCellAnchor>
  <xdr:twoCellAnchor>
    <xdr:from>
      <xdr:col>13</xdr:col>
      <xdr:colOff>6517</xdr:colOff>
      <xdr:row>3</xdr:row>
      <xdr:rowOff>285750</xdr:rowOff>
    </xdr:from>
    <xdr:to>
      <xdr:col>13</xdr:col>
      <xdr:colOff>6517</xdr:colOff>
      <xdr:row>5</xdr:row>
      <xdr:rowOff>2507</xdr:rowOff>
    </xdr:to>
    <xdr:sp macro="" textlink="">
      <xdr:nvSpPr>
        <xdr:cNvPr id="3" name="AutoShape 109">
          <a:extLst>
            <a:ext uri="{FF2B5EF4-FFF2-40B4-BE49-F238E27FC236}">
              <a16:creationId xmlns:a16="http://schemas.microsoft.com/office/drawing/2014/main" id="{00000000-0008-0000-0200-000003000000}"/>
            </a:ext>
          </a:extLst>
        </xdr:cNvPr>
        <xdr:cNvSpPr>
          <a:spLocks noChangeArrowheads="1"/>
        </xdr:cNvSpPr>
      </xdr:nvSpPr>
      <xdr:spPr bwMode="auto">
        <a:xfrm>
          <a:off x="9226717" y="1190625"/>
          <a:ext cx="0" cy="12032"/>
        </a:xfrm>
        <a:prstGeom prst="bevel">
          <a:avLst>
            <a:gd name="adj" fmla="val 12500"/>
          </a:avLst>
        </a:prstGeom>
        <a:noFill/>
        <a:ln w="9525">
          <a:solidFill>
            <a:srgbClr val="000000"/>
          </a:solidFill>
          <a:miter lim="800000"/>
          <a:headEnd/>
          <a:tailEnd/>
        </a:ln>
      </xdr:spPr>
      <xdr:txBody>
        <a:bodyPr vertOverflow="clip" wrap="square" lIns="27432" tIns="22860" rIns="27432" bIns="0" anchor="t" upright="1"/>
        <a:lstStyle/>
        <a:p>
          <a:pPr algn="ctr" rtl="1">
            <a:defRPr sz="1000"/>
          </a:pPr>
          <a:r>
            <a:rPr lang="es-ES" sz="900" b="0" i="0" strike="noStrike">
              <a:solidFill>
                <a:srgbClr val="000000"/>
              </a:solidFill>
              <a:latin typeface="Arial"/>
              <a:cs typeface="Arial"/>
            </a:rPr>
            <a:t>Buscar</a:t>
          </a:r>
        </a:p>
      </xdr:txBody>
    </xdr:sp>
    <xdr:clientData/>
  </xdr:twoCellAnchor>
  <xdr:twoCellAnchor>
    <xdr:from>
      <xdr:col>11</xdr:col>
      <xdr:colOff>6517</xdr:colOff>
      <xdr:row>3</xdr:row>
      <xdr:rowOff>285750</xdr:rowOff>
    </xdr:from>
    <xdr:to>
      <xdr:col>11</xdr:col>
      <xdr:colOff>6517</xdr:colOff>
      <xdr:row>5</xdr:row>
      <xdr:rowOff>2507</xdr:rowOff>
    </xdr:to>
    <xdr:sp macro="" textlink="">
      <xdr:nvSpPr>
        <xdr:cNvPr id="4" name="AutoShape 109">
          <a:extLst>
            <a:ext uri="{FF2B5EF4-FFF2-40B4-BE49-F238E27FC236}">
              <a16:creationId xmlns:a16="http://schemas.microsoft.com/office/drawing/2014/main" id="{00000000-0008-0000-0200-000004000000}"/>
            </a:ext>
          </a:extLst>
        </xdr:cNvPr>
        <xdr:cNvSpPr>
          <a:spLocks noChangeArrowheads="1"/>
        </xdr:cNvSpPr>
      </xdr:nvSpPr>
      <xdr:spPr bwMode="auto">
        <a:xfrm>
          <a:off x="7721767" y="1190625"/>
          <a:ext cx="0" cy="12032"/>
        </a:xfrm>
        <a:prstGeom prst="bevel">
          <a:avLst>
            <a:gd name="adj" fmla="val 12500"/>
          </a:avLst>
        </a:prstGeom>
        <a:noFill/>
        <a:ln w="9525">
          <a:solidFill>
            <a:srgbClr val="000000"/>
          </a:solidFill>
          <a:miter lim="800000"/>
          <a:headEnd/>
          <a:tailEnd/>
        </a:ln>
      </xdr:spPr>
      <xdr:txBody>
        <a:bodyPr vertOverflow="clip" wrap="square" lIns="27432" tIns="22860" rIns="27432" bIns="0" anchor="t" upright="1"/>
        <a:lstStyle/>
        <a:p>
          <a:pPr algn="ctr" rtl="1">
            <a:defRPr sz="1000"/>
          </a:pPr>
          <a:r>
            <a:rPr lang="es-ES" sz="900" b="0" i="0" strike="noStrike">
              <a:solidFill>
                <a:srgbClr val="000000"/>
              </a:solidFill>
              <a:latin typeface="Arial"/>
              <a:cs typeface="Arial"/>
            </a:rPr>
            <a:t>Buscar</a:t>
          </a:r>
        </a:p>
      </xdr:txBody>
    </xdr:sp>
    <xdr:clientData/>
  </xdr:twoCellAnchor>
  <xdr:twoCellAnchor>
    <xdr:from>
      <xdr:col>11</xdr:col>
      <xdr:colOff>6517</xdr:colOff>
      <xdr:row>3</xdr:row>
      <xdr:rowOff>285750</xdr:rowOff>
    </xdr:from>
    <xdr:to>
      <xdr:col>11</xdr:col>
      <xdr:colOff>6517</xdr:colOff>
      <xdr:row>5</xdr:row>
      <xdr:rowOff>2507</xdr:rowOff>
    </xdr:to>
    <xdr:sp macro="" textlink="">
      <xdr:nvSpPr>
        <xdr:cNvPr id="5" name="AutoShape 109">
          <a:extLst>
            <a:ext uri="{FF2B5EF4-FFF2-40B4-BE49-F238E27FC236}">
              <a16:creationId xmlns:a16="http://schemas.microsoft.com/office/drawing/2014/main" id="{00000000-0008-0000-0200-000005000000}"/>
            </a:ext>
          </a:extLst>
        </xdr:cNvPr>
        <xdr:cNvSpPr>
          <a:spLocks noChangeArrowheads="1"/>
        </xdr:cNvSpPr>
      </xdr:nvSpPr>
      <xdr:spPr bwMode="auto">
        <a:xfrm>
          <a:off x="7721767" y="1190625"/>
          <a:ext cx="0" cy="12032"/>
        </a:xfrm>
        <a:prstGeom prst="bevel">
          <a:avLst>
            <a:gd name="adj" fmla="val 12500"/>
          </a:avLst>
        </a:prstGeom>
        <a:noFill/>
        <a:ln w="9525">
          <a:solidFill>
            <a:srgbClr val="000000"/>
          </a:solidFill>
          <a:miter lim="800000"/>
          <a:headEnd/>
          <a:tailEnd/>
        </a:ln>
      </xdr:spPr>
      <xdr:txBody>
        <a:bodyPr vertOverflow="clip" wrap="square" lIns="27432" tIns="22860" rIns="27432" bIns="0" anchor="t" upright="1"/>
        <a:lstStyle/>
        <a:p>
          <a:pPr algn="ctr" rtl="1">
            <a:defRPr sz="1000"/>
          </a:pPr>
          <a:r>
            <a:rPr lang="es-ES" sz="900" b="0" i="0" strike="noStrike">
              <a:solidFill>
                <a:srgbClr val="000000"/>
              </a:solidFill>
              <a:latin typeface="Arial"/>
              <a:cs typeface="Arial"/>
            </a:rPr>
            <a:t>Buscar</a:t>
          </a:r>
        </a:p>
      </xdr:txBody>
    </xdr:sp>
    <xdr:clientData/>
  </xdr:twoCellAnchor>
  <xdr:twoCellAnchor>
    <xdr:from>
      <xdr:col>11</xdr:col>
      <xdr:colOff>6517</xdr:colOff>
      <xdr:row>3</xdr:row>
      <xdr:rowOff>285750</xdr:rowOff>
    </xdr:from>
    <xdr:to>
      <xdr:col>11</xdr:col>
      <xdr:colOff>6517</xdr:colOff>
      <xdr:row>5</xdr:row>
      <xdr:rowOff>2507</xdr:rowOff>
    </xdr:to>
    <xdr:sp macro="" textlink="">
      <xdr:nvSpPr>
        <xdr:cNvPr id="6" name="AutoShape 109">
          <a:extLst>
            <a:ext uri="{FF2B5EF4-FFF2-40B4-BE49-F238E27FC236}">
              <a16:creationId xmlns:a16="http://schemas.microsoft.com/office/drawing/2014/main" id="{00000000-0008-0000-0200-000006000000}"/>
            </a:ext>
          </a:extLst>
        </xdr:cNvPr>
        <xdr:cNvSpPr>
          <a:spLocks noChangeArrowheads="1"/>
        </xdr:cNvSpPr>
      </xdr:nvSpPr>
      <xdr:spPr bwMode="auto">
        <a:xfrm>
          <a:off x="7721767" y="1190625"/>
          <a:ext cx="0" cy="12032"/>
        </a:xfrm>
        <a:prstGeom prst="bevel">
          <a:avLst>
            <a:gd name="adj" fmla="val 12500"/>
          </a:avLst>
        </a:prstGeom>
        <a:noFill/>
        <a:ln w="9525">
          <a:solidFill>
            <a:srgbClr val="000000"/>
          </a:solidFill>
          <a:miter lim="800000"/>
          <a:headEnd/>
          <a:tailEnd/>
        </a:ln>
      </xdr:spPr>
      <xdr:txBody>
        <a:bodyPr vertOverflow="clip" wrap="square" lIns="27432" tIns="22860" rIns="27432" bIns="0" anchor="t" upright="1"/>
        <a:lstStyle/>
        <a:p>
          <a:pPr algn="ctr" rtl="1">
            <a:defRPr sz="1000"/>
          </a:pPr>
          <a:r>
            <a:rPr lang="es-ES" sz="900" b="0" i="0" strike="noStrike">
              <a:solidFill>
                <a:srgbClr val="000000"/>
              </a:solidFill>
              <a:latin typeface="Arial"/>
              <a:cs typeface="Arial"/>
            </a:rPr>
            <a:t>Buscar</a:t>
          </a:r>
        </a:p>
      </xdr:txBody>
    </xdr:sp>
    <xdr:clientData/>
  </xdr:twoCellAnchor>
  <xdr:twoCellAnchor>
    <xdr:from>
      <xdr:col>6</xdr:col>
      <xdr:colOff>6517</xdr:colOff>
      <xdr:row>4</xdr:row>
      <xdr:rowOff>0</xdr:rowOff>
    </xdr:from>
    <xdr:to>
      <xdr:col>6</xdr:col>
      <xdr:colOff>6517</xdr:colOff>
      <xdr:row>4</xdr:row>
      <xdr:rowOff>2507</xdr:rowOff>
    </xdr:to>
    <xdr:sp macro="" textlink="">
      <xdr:nvSpPr>
        <xdr:cNvPr id="11" name="AutoShape 109">
          <a:extLst>
            <a:ext uri="{FF2B5EF4-FFF2-40B4-BE49-F238E27FC236}">
              <a16:creationId xmlns:a16="http://schemas.microsoft.com/office/drawing/2014/main" id="{8972F4DC-6241-4623-B91E-02E4E7912CF6}"/>
            </a:ext>
          </a:extLst>
        </xdr:cNvPr>
        <xdr:cNvSpPr>
          <a:spLocks noChangeArrowheads="1"/>
        </xdr:cNvSpPr>
      </xdr:nvSpPr>
      <xdr:spPr bwMode="auto">
        <a:xfrm>
          <a:off x="4210217" y="685800"/>
          <a:ext cx="0" cy="2507"/>
        </a:xfrm>
        <a:prstGeom prst="bevel">
          <a:avLst>
            <a:gd name="adj" fmla="val 12500"/>
          </a:avLst>
        </a:prstGeom>
        <a:noFill/>
        <a:ln w="9525">
          <a:solidFill>
            <a:srgbClr val="000000"/>
          </a:solidFill>
          <a:miter lim="800000"/>
          <a:headEnd/>
          <a:tailEnd/>
        </a:ln>
      </xdr:spPr>
      <xdr:txBody>
        <a:bodyPr vertOverflow="clip" wrap="square" lIns="27432" tIns="22860" rIns="27432" bIns="0" anchor="t" upright="1"/>
        <a:lstStyle/>
        <a:p>
          <a:pPr algn="ctr" rtl="1">
            <a:defRPr sz="1000"/>
          </a:pPr>
          <a:r>
            <a:rPr lang="es-ES" sz="900" b="0" i="0" strike="noStrike">
              <a:solidFill>
                <a:srgbClr val="000000"/>
              </a:solidFill>
              <a:latin typeface="Arial"/>
              <a:cs typeface="Arial"/>
            </a:rPr>
            <a:t>Buscar</a:t>
          </a:r>
        </a:p>
      </xdr:txBody>
    </xdr:sp>
    <xdr:clientData/>
  </xdr:twoCellAnchor>
  <xdr:twoCellAnchor>
    <xdr:from>
      <xdr:col>6</xdr:col>
      <xdr:colOff>6517</xdr:colOff>
      <xdr:row>4</xdr:row>
      <xdr:rowOff>0</xdr:rowOff>
    </xdr:from>
    <xdr:to>
      <xdr:col>6</xdr:col>
      <xdr:colOff>6517</xdr:colOff>
      <xdr:row>4</xdr:row>
      <xdr:rowOff>2507</xdr:rowOff>
    </xdr:to>
    <xdr:sp macro="" textlink="">
      <xdr:nvSpPr>
        <xdr:cNvPr id="12" name="AutoShape 109">
          <a:extLst>
            <a:ext uri="{FF2B5EF4-FFF2-40B4-BE49-F238E27FC236}">
              <a16:creationId xmlns:a16="http://schemas.microsoft.com/office/drawing/2014/main" id="{0A4E84F4-E18E-4E28-95C8-ED8750343D61}"/>
            </a:ext>
          </a:extLst>
        </xdr:cNvPr>
        <xdr:cNvSpPr>
          <a:spLocks noChangeArrowheads="1"/>
        </xdr:cNvSpPr>
      </xdr:nvSpPr>
      <xdr:spPr bwMode="auto">
        <a:xfrm>
          <a:off x="4210217" y="685800"/>
          <a:ext cx="0" cy="2507"/>
        </a:xfrm>
        <a:prstGeom prst="bevel">
          <a:avLst>
            <a:gd name="adj" fmla="val 12500"/>
          </a:avLst>
        </a:prstGeom>
        <a:noFill/>
        <a:ln w="9525">
          <a:solidFill>
            <a:srgbClr val="000000"/>
          </a:solidFill>
          <a:miter lim="800000"/>
          <a:headEnd/>
          <a:tailEnd/>
        </a:ln>
      </xdr:spPr>
      <xdr:txBody>
        <a:bodyPr vertOverflow="clip" wrap="square" lIns="27432" tIns="22860" rIns="27432" bIns="0" anchor="t" upright="1"/>
        <a:lstStyle/>
        <a:p>
          <a:pPr algn="ctr" rtl="1">
            <a:defRPr sz="1000"/>
          </a:pPr>
          <a:r>
            <a:rPr lang="es-ES" sz="900" b="0" i="0" strike="noStrike">
              <a:solidFill>
                <a:srgbClr val="000000"/>
              </a:solidFill>
              <a:latin typeface="Arial"/>
              <a:cs typeface="Arial"/>
            </a:rPr>
            <a:t>Buscar</a:t>
          </a:r>
        </a:p>
      </xdr:txBody>
    </xdr:sp>
    <xdr:clientData/>
  </xdr:twoCellAnchor>
  <xdr:twoCellAnchor>
    <xdr:from>
      <xdr:col>6</xdr:col>
      <xdr:colOff>6517</xdr:colOff>
      <xdr:row>4</xdr:row>
      <xdr:rowOff>0</xdr:rowOff>
    </xdr:from>
    <xdr:to>
      <xdr:col>6</xdr:col>
      <xdr:colOff>6517</xdr:colOff>
      <xdr:row>4</xdr:row>
      <xdr:rowOff>2507</xdr:rowOff>
    </xdr:to>
    <xdr:sp macro="" textlink="">
      <xdr:nvSpPr>
        <xdr:cNvPr id="13" name="AutoShape 109">
          <a:extLst>
            <a:ext uri="{FF2B5EF4-FFF2-40B4-BE49-F238E27FC236}">
              <a16:creationId xmlns:a16="http://schemas.microsoft.com/office/drawing/2014/main" id="{65C7F20C-1A23-4798-A267-07D891E8ABF4}"/>
            </a:ext>
          </a:extLst>
        </xdr:cNvPr>
        <xdr:cNvSpPr>
          <a:spLocks noChangeArrowheads="1"/>
        </xdr:cNvSpPr>
      </xdr:nvSpPr>
      <xdr:spPr bwMode="auto">
        <a:xfrm>
          <a:off x="4210217" y="685800"/>
          <a:ext cx="0" cy="2507"/>
        </a:xfrm>
        <a:prstGeom prst="bevel">
          <a:avLst>
            <a:gd name="adj" fmla="val 12500"/>
          </a:avLst>
        </a:prstGeom>
        <a:noFill/>
        <a:ln w="9525">
          <a:solidFill>
            <a:srgbClr val="000000"/>
          </a:solidFill>
          <a:miter lim="800000"/>
          <a:headEnd/>
          <a:tailEnd/>
        </a:ln>
      </xdr:spPr>
      <xdr:txBody>
        <a:bodyPr vertOverflow="clip" wrap="square" lIns="27432" tIns="22860" rIns="27432" bIns="0" anchor="t" upright="1"/>
        <a:lstStyle/>
        <a:p>
          <a:pPr algn="ctr" rtl="1">
            <a:defRPr sz="1000"/>
          </a:pPr>
          <a:r>
            <a:rPr lang="es-ES" sz="900" b="0" i="0" strike="noStrike">
              <a:solidFill>
                <a:srgbClr val="000000"/>
              </a:solidFill>
              <a:latin typeface="Arial"/>
              <a:cs typeface="Arial"/>
            </a:rPr>
            <a:t>Buscar</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25</xdr:col>
      <xdr:colOff>6517</xdr:colOff>
      <xdr:row>4</xdr:row>
      <xdr:rowOff>0</xdr:rowOff>
    </xdr:from>
    <xdr:to>
      <xdr:col>25</xdr:col>
      <xdr:colOff>6517</xdr:colOff>
      <xdr:row>4</xdr:row>
      <xdr:rowOff>2507</xdr:rowOff>
    </xdr:to>
    <xdr:sp macro="" textlink="">
      <xdr:nvSpPr>
        <xdr:cNvPr id="2" name="AutoShape 109">
          <a:extLst>
            <a:ext uri="{FF2B5EF4-FFF2-40B4-BE49-F238E27FC236}">
              <a16:creationId xmlns:a16="http://schemas.microsoft.com/office/drawing/2014/main" id="{00000000-0008-0000-0400-000002000000}"/>
            </a:ext>
          </a:extLst>
        </xdr:cNvPr>
        <xdr:cNvSpPr>
          <a:spLocks noChangeArrowheads="1"/>
        </xdr:cNvSpPr>
      </xdr:nvSpPr>
      <xdr:spPr bwMode="auto">
        <a:xfrm>
          <a:off x="28295767" y="1200150"/>
          <a:ext cx="0" cy="2507"/>
        </a:xfrm>
        <a:prstGeom prst="bevel">
          <a:avLst>
            <a:gd name="adj" fmla="val 12500"/>
          </a:avLst>
        </a:prstGeom>
        <a:noFill/>
        <a:ln w="9525">
          <a:solidFill>
            <a:srgbClr val="000000"/>
          </a:solidFill>
          <a:miter lim="800000"/>
          <a:headEnd/>
          <a:tailEnd/>
        </a:ln>
      </xdr:spPr>
      <xdr:txBody>
        <a:bodyPr vertOverflow="clip" wrap="square" lIns="27432" tIns="22860" rIns="27432" bIns="0" anchor="t" upright="1"/>
        <a:lstStyle/>
        <a:p>
          <a:pPr algn="ctr" rtl="1">
            <a:defRPr sz="1000"/>
          </a:pPr>
          <a:r>
            <a:rPr lang="es-ES" sz="900" b="0" i="0" strike="noStrike">
              <a:solidFill>
                <a:srgbClr val="000000"/>
              </a:solidFill>
              <a:latin typeface="Arial"/>
              <a:cs typeface="Arial"/>
            </a:rPr>
            <a:t>Buscar</a:t>
          </a:r>
        </a:p>
      </xdr:txBody>
    </xdr:sp>
    <xdr:clientData/>
  </xdr:twoCellAnchor>
  <xdr:twoCellAnchor>
    <xdr:from>
      <xdr:col>20</xdr:col>
      <xdr:colOff>6517</xdr:colOff>
      <xdr:row>4</xdr:row>
      <xdr:rowOff>0</xdr:rowOff>
    </xdr:from>
    <xdr:to>
      <xdr:col>20</xdr:col>
      <xdr:colOff>6517</xdr:colOff>
      <xdr:row>4</xdr:row>
      <xdr:rowOff>2507</xdr:rowOff>
    </xdr:to>
    <xdr:sp macro="" textlink="">
      <xdr:nvSpPr>
        <xdr:cNvPr id="3" name="AutoShape 109">
          <a:extLst>
            <a:ext uri="{FF2B5EF4-FFF2-40B4-BE49-F238E27FC236}">
              <a16:creationId xmlns:a16="http://schemas.microsoft.com/office/drawing/2014/main" id="{00000000-0008-0000-0400-000003000000}"/>
            </a:ext>
          </a:extLst>
        </xdr:cNvPr>
        <xdr:cNvSpPr>
          <a:spLocks noChangeArrowheads="1"/>
        </xdr:cNvSpPr>
      </xdr:nvSpPr>
      <xdr:spPr bwMode="auto">
        <a:xfrm>
          <a:off x="25562092" y="1200150"/>
          <a:ext cx="0" cy="2507"/>
        </a:xfrm>
        <a:prstGeom prst="bevel">
          <a:avLst>
            <a:gd name="adj" fmla="val 12500"/>
          </a:avLst>
        </a:prstGeom>
        <a:noFill/>
        <a:ln w="9525">
          <a:solidFill>
            <a:srgbClr val="000000"/>
          </a:solidFill>
          <a:miter lim="800000"/>
          <a:headEnd/>
          <a:tailEnd/>
        </a:ln>
      </xdr:spPr>
      <xdr:txBody>
        <a:bodyPr vertOverflow="clip" wrap="square" lIns="27432" tIns="22860" rIns="27432" bIns="0" anchor="t" upright="1"/>
        <a:lstStyle/>
        <a:p>
          <a:pPr algn="ctr" rtl="1">
            <a:defRPr sz="1000"/>
          </a:pPr>
          <a:r>
            <a:rPr lang="es-ES" sz="900" b="0" i="0" strike="noStrike">
              <a:solidFill>
                <a:srgbClr val="000000"/>
              </a:solidFill>
              <a:latin typeface="Arial"/>
              <a:cs typeface="Arial"/>
            </a:rPr>
            <a:t>Buscar</a:t>
          </a:r>
        </a:p>
      </xdr:txBody>
    </xdr:sp>
    <xdr:clientData/>
  </xdr:twoCellAnchor>
  <xdr:twoCellAnchor>
    <xdr:from>
      <xdr:col>3</xdr:col>
      <xdr:colOff>6517</xdr:colOff>
      <xdr:row>4</xdr:row>
      <xdr:rowOff>0</xdr:rowOff>
    </xdr:from>
    <xdr:to>
      <xdr:col>3</xdr:col>
      <xdr:colOff>6517</xdr:colOff>
      <xdr:row>4</xdr:row>
      <xdr:rowOff>2507</xdr:rowOff>
    </xdr:to>
    <xdr:sp macro="" textlink="">
      <xdr:nvSpPr>
        <xdr:cNvPr id="4" name="AutoShape 109">
          <a:extLst>
            <a:ext uri="{FF2B5EF4-FFF2-40B4-BE49-F238E27FC236}">
              <a16:creationId xmlns:a16="http://schemas.microsoft.com/office/drawing/2014/main" id="{00000000-0008-0000-0400-000004000000}"/>
            </a:ext>
          </a:extLst>
        </xdr:cNvPr>
        <xdr:cNvSpPr>
          <a:spLocks noChangeArrowheads="1"/>
        </xdr:cNvSpPr>
      </xdr:nvSpPr>
      <xdr:spPr bwMode="auto">
        <a:xfrm>
          <a:off x="3425992" y="1200150"/>
          <a:ext cx="0" cy="2507"/>
        </a:xfrm>
        <a:prstGeom prst="bevel">
          <a:avLst>
            <a:gd name="adj" fmla="val 12500"/>
          </a:avLst>
        </a:prstGeom>
        <a:noFill/>
        <a:ln w="9525">
          <a:solidFill>
            <a:srgbClr val="000000"/>
          </a:solidFill>
          <a:miter lim="800000"/>
          <a:headEnd/>
          <a:tailEnd/>
        </a:ln>
      </xdr:spPr>
      <xdr:txBody>
        <a:bodyPr vertOverflow="clip" wrap="square" lIns="27432" tIns="22860" rIns="27432" bIns="0" anchor="t" upright="1"/>
        <a:lstStyle/>
        <a:p>
          <a:pPr algn="ctr" rtl="1">
            <a:defRPr sz="1000"/>
          </a:pPr>
          <a:r>
            <a:rPr lang="es-ES" sz="900" b="0" i="0" strike="noStrike">
              <a:solidFill>
                <a:srgbClr val="000000"/>
              </a:solidFill>
              <a:latin typeface="Arial"/>
              <a:cs typeface="Arial"/>
            </a:rPr>
            <a:t>Buscar</a:t>
          </a:r>
        </a:p>
      </xdr:txBody>
    </xdr:sp>
    <xdr:clientData/>
  </xdr:twoCellAnchor>
  <xdr:twoCellAnchor>
    <xdr:from>
      <xdr:col>3</xdr:col>
      <xdr:colOff>6517</xdr:colOff>
      <xdr:row>4</xdr:row>
      <xdr:rowOff>0</xdr:rowOff>
    </xdr:from>
    <xdr:to>
      <xdr:col>3</xdr:col>
      <xdr:colOff>6517</xdr:colOff>
      <xdr:row>4</xdr:row>
      <xdr:rowOff>2507</xdr:rowOff>
    </xdr:to>
    <xdr:sp macro="" textlink="">
      <xdr:nvSpPr>
        <xdr:cNvPr id="5" name="AutoShape 109">
          <a:extLst>
            <a:ext uri="{FF2B5EF4-FFF2-40B4-BE49-F238E27FC236}">
              <a16:creationId xmlns:a16="http://schemas.microsoft.com/office/drawing/2014/main" id="{00000000-0008-0000-0400-000005000000}"/>
            </a:ext>
          </a:extLst>
        </xdr:cNvPr>
        <xdr:cNvSpPr>
          <a:spLocks noChangeArrowheads="1"/>
        </xdr:cNvSpPr>
      </xdr:nvSpPr>
      <xdr:spPr bwMode="auto">
        <a:xfrm>
          <a:off x="3425992" y="1200150"/>
          <a:ext cx="0" cy="2507"/>
        </a:xfrm>
        <a:prstGeom prst="bevel">
          <a:avLst>
            <a:gd name="adj" fmla="val 12500"/>
          </a:avLst>
        </a:prstGeom>
        <a:noFill/>
        <a:ln w="9525">
          <a:solidFill>
            <a:srgbClr val="000000"/>
          </a:solidFill>
          <a:miter lim="800000"/>
          <a:headEnd/>
          <a:tailEnd/>
        </a:ln>
      </xdr:spPr>
      <xdr:txBody>
        <a:bodyPr vertOverflow="clip" wrap="square" lIns="27432" tIns="22860" rIns="27432" bIns="0" anchor="t" upright="1"/>
        <a:lstStyle/>
        <a:p>
          <a:pPr algn="ctr" rtl="1">
            <a:defRPr sz="1000"/>
          </a:pPr>
          <a:r>
            <a:rPr lang="es-ES" sz="900" b="0" i="0" strike="noStrike">
              <a:solidFill>
                <a:srgbClr val="000000"/>
              </a:solidFill>
              <a:latin typeface="Arial"/>
              <a:cs typeface="Arial"/>
            </a:rPr>
            <a:t>Buscar</a:t>
          </a:r>
        </a:p>
      </xdr:txBody>
    </xdr:sp>
    <xdr:clientData/>
  </xdr:twoCellAnchor>
  <xdr:twoCellAnchor>
    <xdr:from>
      <xdr:col>3</xdr:col>
      <xdr:colOff>6517</xdr:colOff>
      <xdr:row>4</xdr:row>
      <xdr:rowOff>0</xdr:rowOff>
    </xdr:from>
    <xdr:to>
      <xdr:col>3</xdr:col>
      <xdr:colOff>6517</xdr:colOff>
      <xdr:row>4</xdr:row>
      <xdr:rowOff>2507</xdr:rowOff>
    </xdr:to>
    <xdr:sp macro="" textlink="">
      <xdr:nvSpPr>
        <xdr:cNvPr id="6" name="AutoShape 109">
          <a:extLst>
            <a:ext uri="{FF2B5EF4-FFF2-40B4-BE49-F238E27FC236}">
              <a16:creationId xmlns:a16="http://schemas.microsoft.com/office/drawing/2014/main" id="{00000000-0008-0000-0400-000006000000}"/>
            </a:ext>
          </a:extLst>
        </xdr:cNvPr>
        <xdr:cNvSpPr>
          <a:spLocks noChangeArrowheads="1"/>
        </xdr:cNvSpPr>
      </xdr:nvSpPr>
      <xdr:spPr bwMode="auto">
        <a:xfrm>
          <a:off x="3425992" y="1200150"/>
          <a:ext cx="0" cy="2507"/>
        </a:xfrm>
        <a:prstGeom prst="bevel">
          <a:avLst>
            <a:gd name="adj" fmla="val 12500"/>
          </a:avLst>
        </a:prstGeom>
        <a:noFill/>
        <a:ln w="9525">
          <a:solidFill>
            <a:srgbClr val="000000"/>
          </a:solidFill>
          <a:miter lim="800000"/>
          <a:headEnd/>
          <a:tailEnd/>
        </a:ln>
      </xdr:spPr>
      <xdr:txBody>
        <a:bodyPr vertOverflow="clip" wrap="square" lIns="27432" tIns="22860" rIns="27432" bIns="0" anchor="t" upright="1"/>
        <a:lstStyle/>
        <a:p>
          <a:pPr algn="ctr" rtl="1">
            <a:defRPr sz="1000"/>
          </a:pPr>
          <a:r>
            <a:rPr lang="es-ES" sz="900" b="0" i="0" strike="noStrike">
              <a:solidFill>
                <a:srgbClr val="000000"/>
              </a:solidFill>
              <a:latin typeface="Arial"/>
              <a:cs typeface="Arial"/>
            </a:rPr>
            <a:t>Buscar</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6517</xdr:colOff>
      <xdr:row>4</xdr:row>
      <xdr:rowOff>0</xdr:rowOff>
    </xdr:from>
    <xdr:to>
      <xdr:col>3</xdr:col>
      <xdr:colOff>6517</xdr:colOff>
      <xdr:row>4</xdr:row>
      <xdr:rowOff>2507</xdr:rowOff>
    </xdr:to>
    <xdr:sp macro="" textlink="">
      <xdr:nvSpPr>
        <xdr:cNvPr id="3" name="AutoShape 109">
          <a:extLst>
            <a:ext uri="{FF2B5EF4-FFF2-40B4-BE49-F238E27FC236}">
              <a16:creationId xmlns:a16="http://schemas.microsoft.com/office/drawing/2014/main" id="{E4D9D766-AD78-4E2D-B105-6F7163F0837B}"/>
            </a:ext>
          </a:extLst>
        </xdr:cNvPr>
        <xdr:cNvSpPr>
          <a:spLocks noChangeArrowheads="1"/>
        </xdr:cNvSpPr>
      </xdr:nvSpPr>
      <xdr:spPr bwMode="auto">
        <a:xfrm>
          <a:off x="4749967" y="685800"/>
          <a:ext cx="0" cy="2507"/>
        </a:xfrm>
        <a:prstGeom prst="bevel">
          <a:avLst>
            <a:gd name="adj" fmla="val 12500"/>
          </a:avLst>
        </a:prstGeom>
        <a:noFill/>
        <a:ln w="9525">
          <a:solidFill>
            <a:srgbClr val="000000"/>
          </a:solidFill>
          <a:miter lim="800000"/>
          <a:headEnd/>
          <a:tailEnd/>
        </a:ln>
      </xdr:spPr>
      <xdr:txBody>
        <a:bodyPr vertOverflow="clip" wrap="square" lIns="27432" tIns="22860" rIns="27432" bIns="0" anchor="t" upright="1"/>
        <a:lstStyle/>
        <a:p>
          <a:pPr algn="ctr" rtl="1">
            <a:defRPr sz="1000"/>
          </a:pPr>
          <a:r>
            <a:rPr lang="es-ES" sz="900" b="0" i="0" strike="noStrike">
              <a:solidFill>
                <a:srgbClr val="000000"/>
              </a:solidFill>
              <a:latin typeface="Arial"/>
              <a:cs typeface="Arial"/>
            </a:rPr>
            <a:t>Buscar</a:t>
          </a:r>
        </a:p>
      </xdr:txBody>
    </xdr:sp>
    <xdr:clientData/>
  </xdr:twoCellAnchor>
  <xdr:twoCellAnchor>
    <xdr:from>
      <xdr:col>2</xdr:col>
      <xdr:colOff>6517</xdr:colOff>
      <xdr:row>4</xdr:row>
      <xdr:rowOff>0</xdr:rowOff>
    </xdr:from>
    <xdr:to>
      <xdr:col>2</xdr:col>
      <xdr:colOff>6517</xdr:colOff>
      <xdr:row>4</xdr:row>
      <xdr:rowOff>2507</xdr:rowOff>
    </xdr:to>
    <xdr:sp macro="" textlink="">
      <xdr:nvSpPr>
        <xdr:cNvPr id="4" name="AutoShape 109">
          <a:extLst>
            <a:ext uri="{FF2B5EF4-FFF2-40B4-BE49-F238E27FC236}">
              <a16:creationId xmlns:a16="http://schemas.microsoft.com/office/drawing/2014/main" id="{A1B60DC3-D30E-423E-98F1-654A1B5F36E6}"/>
            </a:ext>
          </a:extLst>
        </xdr:cNvPr>
        <xdr:cNvSpPr>
          <a:spLocks noChangeArrowheads="1"/>
        </xdr:cNvSpPr>
      </xdr:nvSpPr>
      <xdr:spPr bwMode="auto">
        <a:xfrm>
          <a:off x="4203700" y="685800"/>
          <a:ext cx="0" cy="2507"/>
        </a:xfrm>
        <a:prstGeom prst="bevel">
          <a:avLst>
            <a:gd name="adj" fmla="val 12500"/>
          </a:avLst>
        </a:prstGeom>
        <a:noFill/>
        <a:ln w="9525">
          <a:solidFill>
            <a:srgbClr val="000000"/>
          </a:solidFill>
          <a:miter lim="800000"/>
          <a:headEnd/>
          <a:tailEnd/>
        </a:ln>
      </xdr:spPr>
      <xdr:txBody>
        <a:bodyPr vertOverflow="clip" wrap="square" lIns="27432" tIns="22860" rIns="27432" bIns="0" anchor="t" upright="1"/>
        <a:lstStyle/>
        <a:p>
          <a:pPr algn="ctr" rtl="1">
            <a:defRPr sz="1000"/>
          </a:pPr>
          <a:r>
            <a:rPr lang="es-ES" sz="900" b="0" i="0" strike="noStrike">
              <a:solidFill>
                <a:srgbClr val="000000"/>
              </a:solidFill>
              <a:latin typeface="Arial"/>
              <a:cs typeface="Arial"/>
            </a:rPr>
            <a:t>Buscar</a:t>
          </a:r>
        </a:p>
      </xdr:txBody>
    </xdr:sp>
    <xdr:clientData/>
  </xdr:twoCellAnchor>
  <xdr:twoCellAnchor>
    <xdr:from>
      <xdr:col>2</xdr:col>
      <xdr:colOff>6517</xdr:colOff>
      <xdr:row>4</xdr:row>
      <xdr:rowOff>0</xdr:rowOff>
    </xdr:from>
    <xdr:to>
      <xdr:col>2</xdr:col>
      <xdr:colOff>6517</xdr:colOff>
      <xdr:row>4</xdr:row>
      <xdr:rowOff>2507</xdr:rowOff>
    </xdr:to>
    <xdr:sp macro="" textlink="">
      <xdr:nvSpPr>
        <xdr:cNvPr id="5" name="AutoShape 109">
          <a:extLst>
            <a:ext uri="{FF2B5EF4-FFF2-40B4-BE49-F238E27FC236}">
              <a16:creationId xmlns:a16="http://schemas.microsoft.com/office/drawing/2014/main" id="{9E05DA6B-9D4C-4F6E-8F12-EC9FDC48CB27}"/>
            </a:ext>
          </a:extLst>
        </xdr:cNvPr>
        <xdr:cNvSpPr>
          <a:spLocks noChangeArrowheads="1"/>
        </xdr:cNvSpPr>
      </xdr:nvSpPr>
      <xdr:spPr bwMode="auto">
        <a:xfrm>
          <a:off x="4203700" y="685800"/>
          <a:ext cx="0" cy="2507"/>
        </a:xfrm>
        <a:prstGeom prst="bevel">
          <a:avLst>
            <a:gd name="adj" fmla="val 12500"/>
          </a:avLst>
        </a:prstGeom>
        <a:noFill/>
        <a:ln w="9525">
          <a:solidFill>
            <a:srgbClr val="000000"/>
          </a:solidFill>
          <a:miter lim="800000"/>
          <a:headEnd/>
          <a:tailEnd/>
        </a:ln>
      </xdr:spPr>
      <xdr:txBody>
        <a:bodyPr vertOverflow="clip" wrap="square" lIns="27432" tIns="22860" rIns="27432" bIns="0" anchor="t" upright="1"/>
        <a:lstStyle/>
        <a:p>
          <a:pPr algn="ctr" rtl="1">
            <a:defRPr sz="1000"/>
          </a:pPr>
          <a:r>
            <a:rPr lang="es-ES" sz="900" b="0" i="0" strike="noStrike">
              <a:solidFill>
                <a:srgbClr val="000000"/>
              </a:solidFill>
              <a:latin typeface="Arial"/>
              <a:cs typeface="Arial"/>
            </a:rPr>
            <a:t>Buscar</a:t>
          </a:r>
        </a:p>
      </xdr:txBody>
    </xdr:sp>
    <xdr:clientData/>
  </xdr:twoCellAnchor>
  <xdr:twoCellAnchor>
    <xdr:from>
      <xdr:col>2</xdr:col>
      <xdr:colOff>6517</xdr:colOff>
      <xdr:row>4</xdr:row>
      <xdr:rowOff>0</xdr:rowOff>
    </xdr:from>
    <xdr:to>
      <xdr:col>2</xdr:col>
      <xdr:colOff>6517</xdr:colOff>
      <xdr:row>4</xdr:row>
      <xdr:rowOff>2507</xdr:rowOff>
    </xdr:to>
    <xdr:sp macro="" textlink="">
      <xdr:nvSpPr>
        <xdr:cNvPr id="6" name="AutoShape 109">
          <a:extLst>
            <a:ext uri="{FF2B5EF4-FFF2-40B4-BE49-F238E27FC236}">
              <a16:creationId xmlns:a16="http://schemas.microsoft.com/office/drawing/2014/main" id="{5C6932F6-8D37-43DF-9F04-1280464F801F}"/>
            </a:ext>
          </a:extLst>
        </xdr:cNvPr>
        <xdr:cNvSpPr>
          <a:spLocks noChangeArrowheads="1"/>
        </xdr:cNvSpPr>
      </xdr:nvSpPr>
      <xdr:spPr bwMode="auto">
        <a:xfrm>
          <a:off x="4203700" y="685800"/>
          <a:ext cx="0" cy="2507"/>
        </a:xfrm>
        <a:prstGeom prst="bevel">
          <a:avLst>
            <a:gd name="adj" fmla="val 12500"/>
          </a:avLst>
        </a:prstGeom>
        <a:noFill/>
        <a:ln w="9525">
          <a:solidFill>
            <a:srgbClr val="000000"/>
          </a:solidFill>
          <a:miter lim="800000"/>
          <a:headEnd/>
          <a:tailEnd/>
        </a:ln>
      </xdr:spPr>
      <xdr:txBody>
        <a:bodyPr vertOverflow="clip" wrap="square" lIns="27432" tIns="22860" rIns="27432" bIns="0" anchor="t" upright="1"/>
        <a:lstStyle/>
        <a:p>
          <a:pPr algn="ctr" rtl="1">
            <a:defRPr sz="1000"/>
          </a:pPr>
          <a:r>
            <a:rPr lang="es-ES" sz="900" b="0" i="0" strike="noStrike">
              <a:solidFill>
                <a:srgbClr val="000000"/>
              </a:solidFill>
              <a:latin typeface="Arial"/>
              <a:cs typeface="Arial"/>
            </a:rPr>
            <a:t>Buscar</a:t>
          </a:r>
        </a:p>
      </xdr:txBody>
    </xdr:sp>
    <xdr:clientData/>
  </xdr:twoCellAnchor>
  <xdr:twoCellAnchor>
    <xdr:from>
      <xdr:col>19</xdr:col>
      <xdr:colOff>6517</xdr:colOff>
      <xdr:row>4</xdr:row>
      <xdr:rowOff>0</xdr:rowOff>
    </xdr:from>
    <xdr:to>
      <xdr:col>19</xdr:col>
      <xdr:colOff>6517</xdr:colOff>
      <xdr:row>4</xdr:row>
      <xdr:rowOff>2507</xdr:rowOff>
    </xdr:to>
    <xdr:sp macro="" textlink="">
      <xdr:nvSpPr>
        <xdr:cNvPr id="7" name="AutoShape 109">
          <a:extLst>
            <a:ext uri="{FF2B5EF4-FFF2-40B4-BE49-F238E27FC236}">
              <a16:creationId xmlns:a16="http://schemas.microsoft.com/office/drawing/2014/main" id="{9BF386CF-3ACE-4991-A774-2DB1D548AACB}"/>
            </a:ext>
          </a:extLst>
        </xdr:cNvPr>
        <xdr:cNvSpPr>
          <a:spLocks noChangeArrowheads="1"/>
        </xdr:cNvSpPr>
      </xdr:nvSpPr>
      <xdr:spPr bwMode="auto">
        <a:xfrm>
          <a:off x="5362929" y="687294"/>
          <a:ext cx="0" cy="2507"/>
        </a:xfrm>
        <a:prstGeom prst="bevel">
          <a:avLst>
            <a:gd name="adj" fmla="val 12500"/>
          </a:avLst>
        </a:prstGeom>
        <a:noFill/>
        <a:ln w="9525">
          <a:solidFill>
            <a:srgbClr val="000000"/>
          </a:solidFill>
          <a:miter lim="800000"/>
          <a:headEnd/>
          <a:tailEnd/>
        </a:ln>
      </xdr:spPr>
      <xdr:txBody>
        <a:bodyPr vertOverflow="clip" wrap="square" lIns="27432" tIns="22860" rIns="27432" bIns="0" anchor="t" upright="1"/>
        <a:lstStyle/>
        <a:p>
          <a:pPr algn="ctr" rtl="1">
            <a:defRPr sz="1000"/>
          </a:pPr>
          <a:r>
            <a:rPr lang="es-ES" sz="900" b="0" i="0" strike="noStrike">
              <a:solidFill>
                <a:srgbClr val="000000"/>
              </a:solidFill>
              <a:latin typeface="Arial"/>
              <a:cs typeface="Arial"/>
            </a:rPr>
            <a:t>Buscar</a:t>
          </a:r>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38100</xdr:colOff>
      <xdr:row>0</xdr:row>
      <xdr:rowOff>70970</xdr:rowOff>
    </xdr:from>
    <xdr:to>
      <xdr:col>4</xdr:col>
      <xdr:colOff>1025070</xdr:colOff>
      <xdr:row>6</xdr:row>
      <xdr:rowOff>129159</xdr:rowOff>
    </xdr:to>
    <xdr:pic>
      <xdr:nvPicPr>
        <xdr:cNvPr id="5" name="Imagen 4">
          <a:extLst>
            <a:ext uri="{FF2B5EF4-FFF2-40B4-BE49-F238E27FC236}">
              <a16:creationId xmlns:a16="http://schemas.microsoft.com/office/drawing/2014/main" id="{A6A819F4-9D02-4A56-B8F3-5F4EE8B6FA5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8100" y="70970"/>
          <a:ext cx="1748970" cy="1163089"/>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ebextensions/_rels/taskpanes.xml.rels><?xml version="1.0" encoding="UTF-8" standalone="yes"?>
<Relationships xmlns="http://schemas.openxmlformats.org/package/2006/relationships"><Relationship Id="rId2" Type="http://schemas.microsoft.com/office/2011/relationships/webextension" Target="webextension2.xml"/><Relationship Id="rId1" Type="http://schemas.microsoft.com/office/2011/relationships/webextension" Target="webextension1.xml"/></Relationships>
</file>

<file path=xl/webextensions/taskpanes.xml><?xml version="1.0" encoding="utf-8"?>
<wetp:taskpanes xmlns:wetp="http://schemas.microsoft.com/office/webextensions/taskpanes/2010/11">
  <wetp:taskpane dockstate="right" visibility="0" width="525" row="8">
    <wetp:webextensionref xmlns:r="http://schemas.openxmlformats.org/officeDocument/2006/relationships" r:id="rId1"/>
  </wetp:taskpane>
  <wetp:taskpane dockstate="right" visibility="0" width="0" row="0">
    <wetp:webextensionref xmlns:r="http://schemas.openxmlformats.org/officeDocument/2006/relationships" r:id="rId2"/>
  </wetp:taskpane>
</wetp:taskpanes>
</file>

<file path=xl/webextensions/webextension1.xml><?xml version="1.0" encoding="utf-8"?>
<we:webextension xmlns:we="http://schemas.microsoft.com/office/webextensions/webextension/2010/11" id="{A3CFBCB6-E0AC-4916-9574-BC2131CF7C35}">
  <we:reference id="wa104051163" version="1.2.0.3" store="es-ES" storeType="OMEX"/>
  <we:alternateReferences>
    <we:reference id="WA104051163" version="1.2.0.3" store="WA104051163" storeType="OMEX"/>
  </we:alternateReferences>
  <we:properties/>
  <we:bindings/>
  <we:snapshot xmlns:r="http://schemas.openxmlformats.org/officeDocument/2006/relationships"/>
</we:webextension>
</file>

<file path=xl/webextensions/webextension2.xml><?xml version="1.0" encoding="utf-8"?>
<we:webextension xmlns:we="http://schemas.microsoft.com/office/webextensions/webextension/2010/11" id="{2ECB0B35-389F-4BE9-9F9E-2CD5BFD9EEDE}">
  <we:reference id="wa104380862" version="1.5.0.0" store="es-ES" storeType="OMEX"/>
  <we:alternateReferences>
    <we:reference id="WA104380862" version="1.5.0.0" store="" storeType="OMEX"/>
  </we:alternateReferences>
  <we:properties/>
  <we:bindings/>
  <we:snapshot xmlns:r="http://schemas.openxmlformats.org/officeDocument/2006/relationships"/>
</we:webextension>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hyperlink" Target="mailto:jvelizn@srianexos.com" TargetMode="External"/><Relationship Id="rId2" Type="http://schemas.openxmlformats.org/officeDocument/2006/relationships/hyperlink" Target="mailto:miemail@gmail.com" TargetMode="External"/><Relationship Id="rId1" Type="http://schemas.openxmlformats.org/officeDocument/2006/relationships/hyperlink" Target="mailto:miemail@hotmail.com" TargetMode="External"/><Relationship Id="rId4"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9.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F2D4A0-6534-4930-A5BF-FE8A77C2F0E7}">
  <sheetPr codeName="Hoja24">
    <tabColor theme="0" tint="-0.499984740745262"/>
    <pageSetUpPr fitToPage="1"/>
  </sheetPr>
  <dimension ref="A1:BC6"/>
  <sheetViews>
    <sheetView showGridLines="0" zoomScaleNormal="100" workbookViewId="0">
      <pane ySplit="6" topLeftCell="A7" activePane="bottomLeft" state="frozen"/>
      <selection activeCell="A7" sqref="A7"/>
      <selection pane="bottomLeft" activeCell="A7" sqref="A7"/>
    </sheetView>
  </sheetViews>
  <sheetFormatPr baseColWidth="10" defaultColWidth="9.1796875" defaultRowHeight="11.5" x14ac:dyDescent="0.25"/>
  <cols>
    <col min="1" max="1" width="9.26953125" style="506" customWidth="1"/>
    <col min="2" max="2" width="11" style="506" customWidth="1"/>
    <col min="3" max="3" width="11" style="530" customWidth="1"/>
    <col min="4" max="5" width="11" style="506" customWidth="1"/>
    <col min="6" max="6" width="16.26953125" style="506" customWidth="1"/>
    <col min="7" max="7" width="28.453125" style="504" customWidth="1"/>
    <col min="8" max="9" width="9" style="508" customWidth="1"/>
    <col min="10" max="10" width="4.26953125" style="509" bestFit="1" customWidth="1"/>
    <col min="11" max="11" width="15.54296875" style="504" customWidth="1"/>
    <col min="12" max="12" width="20.1796875" style="504" customWidth="1"/>
    <col min="13" max="13" width="23" style="504" customWidth="1"/>
    <col min="14" max="14" width="10.453125" style="504" bestFit="1" customWidth="1"/>
    <col min="15" max="258" width="9.1796875" style="504"/>
    <col min="259" max="259" width="13.81640625" style="504" customWidth="1"/>
    <col min="260" max="260" width="80.1796875" style="504" customWidth="1"/>
    <col min="261" max="262" width="12.1796875" style="504" customWidth="1"/>
    <col min="263" max="514" width="9.1796875" style="504"/>
    <col min="515" max="515" width="13.81640625" style="504" customWidth="1"/>
    <col min="516" max="516" width="80.1796875" style="504" customWidth="1"/>
    <col min="517" max="518" width="12.1796875" style="504" customWidth="1"/>
    <col min="519" max="770" width="9.1796875" style="504"/>
    <col min="771" max="771" width="13.81640625" style="504" customWidth="1"/>
    <col min="772" max="772" width="80.1796875" style="504" customWidth="1"/>
    <col min="773" max="774" width="12.1796875" style="504" customWidth="1"/>
    <col min="775" max="1026" width="9.1796875" style="504"/>
    <col min="1027" max="1027" width="13.81640625" style="504" customWidth="1"/>
    <col min="1028" max="1028" width="80.1796875" style="504" customWidth="1"/>
    <col min="1029" max="1030" width="12.1796875" style="504" customWidth="1"/>
    <col min="1031" max="1282" width="9.1796875" style="504"/>
    <col min="1283" max="1283" width="13.81640625" style="504" customWidth="1"/>
    <col min="1284" max="1284" width="80.1796875" style="504" customWidth="1"/>
    <col min="1285" max="1286" width="12.1796875" style="504" customWidth="1"/>
    <col min="1287" max="1538" width="9.1796875" style="504"/>
    <col min="1539" max="1539" width="13.81640625" style="504" customWidth="1"/>
    <col min="1540" max="1540" width="80.1796875" style="504" customWidth="1"/>
    <col min="1541" max="1542" width="12.1796875" style="504" customWidth="1"/>
    <col min="1543" max="1794" width="9.1796875" style="504"/>
    <col min="1795" max="1795" width="13.81640625" style="504" customWidth="1"/>
    <col min="1796" max="1796" width="80.1796875" style="504" customWidth="1"/>
    <col min="1797" max="1798" width="12.1796875" style="504" customWidth="1"/>
    <col min="1799" max="2050" width="9.1796875" style="504"/>
    <col min="2051" max="2051" width="13.81640625" style="504" customWidth="1"/>
    <col min="2052" max="2052" width="80.1796875" style="504" customWidth="1"/>
    <col min="2053" max="2054" width="12.1796875" style="504" customWidth="1"/>
    <col min="2055" max="2306" width="9.1796875" style="504"/>
    <col min="2307" max="2307" width="13.81640625" style="504" customWidth="1"/>
    <col min="2308" max="2308" width="80.1796875" style="504" customWidth="1"/>
    <col min="2309" max="2310" width="12.1796875" style="504" customWidth="1"/>
    <col min="2311" max="2562" width="9.1796875" style="504"/>
    <col min="2563" max="2563" width="13.81640625" style="504" customWidth="1"/>
    <col min="2564" max="2564" width="80.1796875" style="504" customWidth="1"/>
    <col min="2565" max="2566" width="12.1796875" style="504" customWidth="1"/>
    <col min="2567" max="2818" width="9.1796875" style="504"/>
    <col min="2819" max="2819" width="13.81640625" style="504" customWidth="1"/>
    <col min="2820" max="2820" width="80.1796875" style="504" customWidth="1"/>
    <col min="2821" max="2822" width="12.1796875" style="504" customWidth="1"/>
    <col min="2823" max="3074" width="9.1796875" style="504"/>
    <col min="3075" max="3075" width="13.81640625" style="504" customWidth="1"/>
    <col min="3076" max="3076" width="80.1796875" style="504" customWidth="1"/>
    <col min="3077" max="3078" width="12.1796875" style="504" customWidth="1"/>
    <col min="3079" max="3330" width="9.1796875" style="504"/>
    <col min="3331" max="3331" width="13.81640625" style="504" customWidth="1"/>
    <col min="3332" max="3332" width="80.1796875" style="504" customWidth="1"/>
    <col min="3333" max="3334" width="12.1796875" style="504" customWidth="1"/>
    <col min="3335" max="3586" width="9.1796875" style="504"/>
    <col min="3587" max="3587" width="13.81640625" style="504" customWidth="1"/>
    <col min="3588" max="3588" width="80.1796875" style="504" customWidth="1"/>
    <col min="3589" max="3590" width="12.1796875" style="504" customWidth="1"/>
    <col min="3591" max="3842" width="9.1796875" style="504"/>
    <col min="3843" max="3843" width="13.81640625" style="504" customWidth="1"/>
    <col min="3844" max="3844" width="80.1796875" style="504" customWidth="1"/>
    <col min="3845" max="3846" width="12.1796875" style="504" customWidth="1"/>
    <col min="3847" max="4098" width="9.1796875" style="504"/>
    <col min="4099" max="4099" width="13.81640625" style="504" customWidth="1"/>
    <col min="4100" max="4100" width="80.1796875" style="504" customWidth="1"/>
    <col min="4101" max="4102" width="12.1796875" style="504" customWidth="1"/>
    <col min="4103" max="4354" width="9.1796875" style="504"/>
    <col min="4355" max="4355" width="13.81640625" style="504" customWidth="1"/>
    <col min="4356" max="4356" width="80.1796875" style="504" customWidth="1"/>
    <col min="4357" max="4358" width="12.1796875" style="504" customWidth="1"/>
    <col min="4359" max="4610" width="9.1796875" style="504"/>
    <col min="4611" max="4611" width="13.81640625" style="504" customWidth="1"/>
    <col min="4612" max="4612" width="80.1796875" style="504" customWidth="1"/>
    <col min="4613" max="4614" width="12.1796875" style="504" customWidth="1"/>
    <col min="4615" max="4866" width="9.1796875" style="504"/>
    <col min="4867" max="4867" width="13.81640625" style="504" customWidth="1"/>
    <col min="4868" max="4868" width="80.1796875" style="504" customWidth="1"/>
    <col min="4869" max="4870" width="12.1796875" style="504" customWidth="1"/>
    <col min="4871" max="5122" width="9.1796875" style="504"/>
    <col min="5123" max="5123" width="13.81640625" style="504" customWidth="1"/>
    <col min="5124" max="5124" width="80.1796875" style="504" customWidth="1"/>
    <col min="5125" max="5126" width="12.1796875" style="504" customWidth="1"/>
    <col min="5127" max="5378" width="9.1796875" style="504"/>
    <col min="5379" max="5379" width="13.81640625" style="504" customWidth="1"/>
    <col min="5380" max="5380" width="80.1796875" style="504" customWidth="1"/>
    <col min="5381" max="5382" width="12.1796875" style="504" customWidth="1"/>
    <col min="5383" max="5634" width="9.1796875" style="504"/>
    <col min="5635" max="5635" width="13.81640625" style="504" customWidth="1"/>
    <col min="5636" max="5636" width="80.1796875" style="504" customWidth="1"/>
    <col min="5637" max="5638" width="12.1796875" style="504" customWidth="1"/>
    <col min="5639" max="5890" width="9.1796875" style="504"/>
    <col min="5891" max="5891" width="13.81640625" style="504" customWidth="1"/>
    <col min="5892" max="5892" width="80.1796875" style="504" customWidth="1"/>
    <col min="5893" max="5894" width="12.1796875" style="504" customWidth="1"/>
    <col min="5895" max="6146" width="9.1796875" style="504"/>
    <col min="6147" max="6147" width="13.81640625" style="504" customWidth="1"/>
    <col min="6148" max="6148" width="80.1796875" style="504" customWidth="1"/>
    <col min="6149" max="6150" width="12.1796875" style="504" customWidth="1"/>
    <col min="6151" max="6402" width="9.1796875" style="504"/>
    <col min="6403" max="6403" width="13.81640625" style="504" customWidth="1"/>
    <col min="6404" max="6404" width="80.1796875" style="504" customWidth="1"/>
    <col min="6405" max="6406" width="12.1796875" style="504" customWidth="1"/>
    <col min="6407" max="6658" width="9.1796875" style="504"/>
    <col min="6659" max="6659" width="13.81640625" style="504" customWidth="1"/>
    <col min="6660" max="6660" width="80.1796875" style="504" customWidth="1"/>
    <col min="6661" max="6662" width="12.1796875" style="504" customWidth="1"/>
    <col min="6663" max="6914" width="9.1796875" style="504"/>
    <col min="6915" max="6915" width="13.81640625" style="504" customWidth="1"/>
    <col min="6916" max="6916" width="80.1796875" style="504" customWidth="1"/>
    <col min="6917" max="6918" width="12.1796875" style="504" customWidth="1"/>
    <col min="6919" max="7170" width="9.1796875" style="504"/>
    <col min="7171" max="7171" width="13.81640625" style="504" customWidth="1"/>
    <col min="7172" max="7172" width="80.1796875" style="504" customWidth="1"/>
    <col min="7173" max="7174" width="12.1796875" style="504" customWidth="1"/>
    <col min="7175" max="7426" width="9.1796875" style="504"/>
    <col min="7427" max="7427" width="13.81640625" style="504" customWidth="1"/>
    <col min="7428" max="7428" width="80.1796875" style="504" customWidth="1"/>
    <col min="7429" max="7430" width="12.1796875" style="504" customWidth="1"/>
    <col min="7431" max="7682" width="9.1796875" style="504"/>
    <col min="7683" max="7683" width="13.81640625" style="504" customWidth="1"/>
    <col min="7684" max="7684" width="80.1796875" style="504" customWidth="1"/>
    <col min="7685" max="7686" width="12.1796875" style="504" customWidth="1"/>
    <col min="7687" max="7938" width="9.1796875" style="504"/>
    <col min="7939" max="7939" width="13.81640625" style="504" customWidth="1"/>
    <col min="7940" max="7940" width="80.1796875" style="504" customWidth="1"/>
    <col min="7941" max="7942" width="12.1796875" style="504" customWidth="1"/>
    <col min="7943" max="8194" width="9.1796875" style="504"/>
    <col min="8195" max="8195" width="13.81640625" style="504" customWidth="1"/>
    <col min="8196" max="8196" width="80.1796875" style="504" customWidth="1"/>
    <col min="8197" max="8198" width="12.1796875" style="504" customWidth="1"/>
    <col min="8199" max="8450" width="9.1796875" style="504"/>
    <col min="8451" max="8451" width="13.81640625" style="504" customWidth="1"/>
    <col min="8452" max="8452" width="80.1796875" style="504" customWidth="1"/>
    <col min="8453" max="8454" width="12.1796875" style="504" customWidth="1"/>
    <col min="8455" max="8706" width="9.1796875" style="504"/>
    <col min="8707" max="8707" width="13.81640625" style="504" customWidth="1"/>
    <col min="8708" max="8708" width="80.1796875" style="504" customWidth="1"/>
    <col min="8709" max="8710" width="12.1796875" style="504" customWidth="1"/>
    <col min="8711" max="8962" width="9.1796875" style="504"/>
    <col min="8963" max="8963" width="13.81640625" style="504" customWidth="1"/>
    <col min="8964" max="8964" width="80.1796875" style="504" customWidth="1"/>
    <col min="8965" max="8966" width="12.1796875" style="504" customWidth="1"/>
    <col min="8967" max="9218" width="9.1796875" style="504"/>
    <col min="9219" max="9219" width="13.81640625" style="504" customWidth="1"/>
    <col min="9220" max="9220" width="80.1796875" style="504" customWidth="1"/>
    <col min="9221" max="9222" width="12.1796875" style="504" customWidth="1"/>
    <col min="9223" max="9474" width="9.1796875" style="504"/>
    <col min="9475" max="9475" width="13.81640625" style="504" customWidth="1"/>
    <col min="9476" max="9476" width="80.1796875" style="504" customWidth="1"/>
    <col min="9477" max="9478" width="12.1796875" style="504" customWidth="1"/>
    <col min="9479" max="9730" width="9.1796875" style="504"/>
    <col min="9731" max="9731" width="13.81640625" style="504" customWidth="1"/>
    <col min="9732" max="9732" width="80.1796875" style="504" customWidth="1"/>
    <col min="9733" max="9734" width="12.1796875" style="504" customWidth="1"/>
    <col min="9735" max="9986" width="9.1796875" style="504"/>
    <col min="9987" max="9987" width="13.81640625" style="504" customWidth="1"/>
    <col min="9988" max="9988" width="80.1796875" style="504" customWidth="1"/>
    <col min="9989" max="9990" width="12.1796875" style="504" customWidth="1"/>
    <col min="9991" max="10242" width="9.1796875" style="504"/>
    <col min="10243" max="10243" width="13.81640625" style="504" customWidth="1"/>
    <col min="10244" max="10244" width="80.1796875" style="504" customWidth="1"/>
    <col min="10245" max="10246" width="12.1796875" style="504" customWidth="1"/>
    <col min="10247" max="10498" width="9.1796875" style="504"/>
    <col min="10499" max="10499" width="13.81640625" style="504" customWidth="1"/>
    <col min="10500" max="10500" width="80.1796875" style="504" customWidth="1"/>
    <col min="10501" max="10502" width="12.1796875" style="504" customWidth="1"/>
    <col min="10503" max="10754" width="9.1796875" style="504"/>
    <col min="10755" max="10755" width="13.81640625" style="504" customWidth="1"/>
    <col min="10756" max="10756" width="80.1796875" style="504" customWidth="1"/>
    <col min="10757" max="10758" width="12.1796875" style="504" customWidth="1"/>
    <col min="10759" max="11010" width="9.1796875" style="504"/>
    <col min="11011" max="11011" width="13.81640625" style="504" customWidth="1"/>
    <col min="11012" max="11012" width="80.1796875" style="504" customWidth="1"/>
    <col min="11013" max="11014" width="12.1796875" style="504" customWidth="1"/>
    <col min="11015" max="11266" width="9.1796875" style="504"/>
    <col min="11267" max="11267" width="13.81640625" style="504" customWidth="1"/>
    <col min="11268" max="11268" width="80.1796875" style="504" customWidth="1"/>
    <col min="11269" max="11270" width="12.1796875" style="504" customWidth="1"/>
    <col min="11271" max="11522" width="9.1796875" style="504"/>
    <col min="11523" max="11523" width="13.81640625" style="504" customWidth="1"/>
    <col min="11524" max="11524" width="80.1796875" style="504" customWidth="1"/>
    <col min="11525" max="11526" width="12.1796875" style="504" customWidth="1"/>
    <col min="11527" max="11778" width="9.1796875" style="504"/>
    <col min="11779" max="11779" width="13.81640625" style="504" customWidth="1"/>
    <col min="11780" max="11780" width="80.1796875" style="504" customWidth="1"/>
    <col min="11781" max="11782" width="12.1796875" style="504" customWidth="1"/>
    <col min="11783" max="12034" width="9.1796875" style="504"/>
    <col min="12035" max="12035" width="13.81640625" style="504" customWidth="1"/>
    <col min="12036" max="12036" width="80.1796875" style="504" customWidth="1"/>
    <col min="12037" max="12038" width="12.1796875" style="504" customWidth="1"/>
    <col min="12039" max="12290" width="9.1796875" style="504"/>
    <col min="12291" max="12291" width="13.81640625" style="504" customWidth="1"/>
    <col min="12292" max="12292" width="80.1796875" style="504" customWidth="1"/>
    <col min="12293" max="12294" width="12.1796875" style="504" customWidth="1"/>
    <col min="12295" max="12546" width="9.1796875" style="504"/>
    <col min="12547" max="12547" width="13.81640625" style="504" customWidth="1"/>
    <col min="12548" max="12548" width="80.1796875" style="504" customWidth="1"/>
    <col min="12549" max="12550" width="12.1796875" style="504" customWidth="1"/>
    <col min="12551" max="12802" width="9.1796875" style="504"/>
    <col min="12803" max="12803" width="13.81640625" style="504" customWidth="1"/>
    <col min="12804" max="12804" width="80.1796875" style="504" customWidth="1"/>
    <col min="12805" max="12806" width="12.1796875" style="504" customWidth="1"/>
    <col min="12807" max="13058" width="9.1796875" style="504"/>
    <col min="13059" max="13059" width="13.81640625" style="504" customWidth="1"/>
    <col min="13060" max="13060" width="80.1796875" style="504" customWidth="1"/>
    <col min="13061" max="13062" width="12.1796875" style="504" customWidth="1"/>
    <col min="13063" max="13314" width="9.1796875" style="504"/>
    <col min="13315" max="13315" width="13.81640625" style="504" customWidth="1"/>
    <col min="13316" max="13316" width="80.1796875" style="504" customWidth="1"/>
    <col min="13317" max="13318" width="12.1796875" style="504" customWidth="1"/>
    <col min="13319" max="13570" width="9.1796875" style="504"/>
    <col min="13571" max="13571" width="13.81640625" style="504" customWidth="1"/>
    <col min="13572" max="13572" width="80.1796875" style="504" customWidth="1"/>
    <col min="13573" max="13574" width="12.1796875" style="504" customWidth="1"/>
    <col min="13575" max="13826" width="9.1796875" style="504"/>
    <col min="13827" max="13827" width="13.81640625" style="504" customWidth="1"/>
    <col min="13828" max="13828" width="80.1796875" style="504" customWidth="1"/>
    <col min="13829" max="13830" width="12.1796875" style="504" customWidth="1"/>
    <col min="13831" max="14082" width="9.1796875" style="504"/>
    <col min="14083" max="14083" width="13.81640625" style="504" customWidth="1"/>
    <col min="14084" max="14084" width="80.1796875" style="504" customWidth="1"/>
    <col min="14085" max="14086" width="12.1796875" style="504" customWidth="1"/>
    <col min="14087" max="14338" width="9.1796875" style="504"/>
    <col min="14339" max="14339" width="13.81640625" style="504" customWidth="1"/>
    <col min="14340" max="14340" width="80.1796875" style="504" customWidth="1"/>
    <col min="14341" max="14342" width="12.1796875" style="504" customWidth="1"/>
    <col min="14343" max="14594" width="9.1796875" style="504"/>
    <col min="14595" max="14595" width="13.81640625" style="504" customWidth="1"/>
    <col min="14596" max="14596" width="80.1796875" style="504" customWidth="1"/>
    <col min="14597" max="14598" width="12.1796875" style="504" customWidth="1"/>
    <col min="14599" max="14850" width="9.1796875" style="504"/>
    <col min="14851" max="14851" width="13.81640625" style="504" customWidth="1"/>
    <col min="14852" max="14852" width="80.1796875" style="504" customWidth="1"/>
    <col min="14853" max="14854" width="12.1796875" style="504" customWidth="1"/>
    <col min="14855" max="15106" width="9.1796875" style="504"/>
    <col min="15107" max="15107" width="13.81640625" style="504" customWidth="1"/>
    <col min="15108" max="15108" width="80.1796875" style="504" customWidth="1"/>
    <col min="15109" max="15110" width="12.1796875" style="504" customWidth="1"/>
    <col min="15111" max="15362" width="9.1796875" style="504"/>
    <col min="15363" max="15363" width="13.81640625" style="504" customWidth="1"/>
    <col min="15364" max="15364" width="80.1796875" style="504" customWidth="1"/>
    <col min="15365" max="15366" width="12.1796875" style="504" customWidth="1"/>
    <col min="15367" max="15618" width="9.1796875" style="504"/>
    <col min="15619" max="15619" width="13.81640625" style="504" customWidth="1"/>
    <col min="15620" max="15620" width="80.1796875" style="504" customWidth="1"/>
    <col min="15621" max="15622" width="12.1796875" style="504" customWidth="1"/>
    <col min="15623" max="15874" width="9.1796875" style="504"/>
    <col min="15875" max="15875" width="13.81640625" style="504" customWidth="1"/>
    <col min="15876" max="15876" width="80.1796875" style="504" customWidth="1"/>
    <col min="15877" max="15878" width="12.1796875" style="504" customWidth="1"/>
    <col min="15879" max="16130" width="9.1796875" style="504"/>
    <col min="16131" max="16131" width="13.81640625" style="504" customWidth="1"/>
    <col min="16132" max="16132" width="80.1796875" style="504" customWidth="1"/>
    <col min="16133" max="16134" width="12.1796875" style="504" customWidth="1"/>
    <col min="16135" max="16384" width="9.1796875" style="504"/>
  </cols>
  <sheetData>
    <row r="1" spans="1:55" s="500" customFormat="1" ht="21.65" customHeight="1" thickBot="1" x14ac:dyDescent="0.3">
      <c r="A1" s="512" t="s">
        <v>2224</v>
      </c>
      <c r="B1" s="491"/>
      <c r="C1" s="529"/>
      <c r="D1" s="491"/>
      <c r="E1" s="491"/>
      <c r="F1" s="491"/>
      <c r="G1" s="492"/>
      <c r="H1" s="494"/>
      <c r="I1" s="494"/>
      <c r="J1" s="495"/>
      <c r="K1" s="492"/>
      <c r="L1" s="492"/>
      <c r="M1" s="492"/>
      <c r="N1" s="498"/>
      <c r="O1" s="498"/>
      <c r="P1" s="498"/>
      <c r="Q1" s="498"/>
      <c r="R1" s="498"/>
      <c r="S1" s="498"/>
      <c r="T1" s="498"/>
      <c r="U1" s="498"/>
      <c r="V1" s="498"/>
      <c r="W1" s="498"/>
      <c r="X1" s="498"/>
      <c r="Y1" s="498"/>
      <c r="Z1" s="499"/>
      <c r="AA1" s="499"/>
      <c r="AB1" s="499"/>
      <c r="AC1" s="499"/>
      <c r="AD1" s="499"/>
      <c r="AE1" s="499"/>
      <c r="AF1" s="499"/>
      <c r="AG1" s="499"/>
      <c r="AH1" s="499"/>
      <c r="AI1" s="499"/>
      <c r="AJ1" s="497"/>
      <c r="AK1" s="497"/>
      <c r="AL1" s="499"/>
      <c r="AM1" s="499"/>
      <c r="AN1" s="499"/>
      <c r="AO1" s="499"/>
      <c r="AP1" s="499"/>
      <c r="AQ1" s="498"/>
      <c r="AR1" s="498"/>
      <c r="AS1" s="498"/>
      <c r="AT1" s="491"/>
      <c r="AV1" s="498"/>
      <c r="AW1" s="498"/>
      <c r="AX1" s="498"/>
      <c r="BA1" s="498"/>
      <c r="BB1" s="498"/>
      <c r="BC1" s="498"/>
    </row>
    <row r="2" spans="1:55" s="500" customFormat="1" ht="21.65" hidden="1" customHeight="1" x14ac:dyDescent="0.25">
      <c r="A2" s="491"/>
      <c r="B2" s="491"/>
      <c r="C2" s="529"/>
      <c r="D2" s="491"/>
      <c r="E2" s="491"/>
      <c r="F2" s="491"/>
      <c r="G2" s="492"/>
      <c r="H2" s="494"/>
      <c r="I2" s="494"/>
      <c r="J2" s="495"/>
      <c r="K2" s="492"/>
      <c r="L2" s="492"/>
      <c r="M2" s="492"/>
      <c r="N2" s="498"/>
      <c r="O2" s="498"/>
      <c r="P2" s="498"/>
      <c r="Q2" s="498"/>
      <c r="R2" s="498"/>
      <c r="S2" s="498"/>
      <c r="T2" s="498"/>
      <c r="U2" s="498"/>
      <c r="V2" s="498"/>
      <c r="W2" s="498"/>
      <c r="X2" s="498"/>
      <c r="Y2" s="498"/>
      <c r="Z2" s="499"/>
      <c r="AA2" s="499"/>
      <c r="AB2" s="499"/>
      <c r="AC2" s="499"/>
      <c r="AD2" s="499"/>
      <c r="AE2" s="499"/>
      <c r="AF2" s="499"/>
      <c r="AG2" s="499"/>
      <c r="AH2" s="499"/>
      <c r="AI2" s="499"/>
      <c r="AJ2" s="497"/>
      <c r="AK2" s="497"/>
      <c r="AL2" s="499"/>
      <c r="AM2" s="499"/>
      <c r="AN2" s="499"/>
      <c r="AO2" s="499"/>
      <c r="AP2" s="499"/>
      <c r="AQ2" s="498"/>
      <c r="AR2" s="498"/>
      <c r="AS2" s="498"/>
      <c r="AT2" s="491"/>
      <c r="AV2" s="498"/>
      <c r="AW2" s="498"/>
      <c r="AX2" s="498"/>
      <c r="BA2" s="498"/>
      <c r="BB2" s="498"/>
      <c r="BC2" s="498"/>
    </row>
    <row r="3" spans="1:55" s="500" customFormat="1" ht="21.65" hidden="1" customHeight="1" x14ac:dyDescent="0.25">
      <c r="A3" s="491"/>
      <c r="B3" s="491"/>
      <c r="C3" s="529"/>
      <c r="D3" s="491"/>
      <c r="E3" s="491"/>
      <c r="F3" s="491"/>
      <c r="G3" s="492"/>
      <c r="H3" s="494"/>
      <c r="I3" s="494"/>
      <c r="J3" s="495"/>
      <c r="K3" s="492"/>
      <c r="L3" s="492"/>
      <c r="M3" s="492"/>
      <c r="N3" s="498"/>
      <c r="O3" s="498"/>
      <c r="P3" s="498"/>
      <c r="Q3" s="498"/>
      <c r="R3" s="498"/>
      <c r="S3" s="498"/>
      <c r="T3" s="498"/>
      <c r="U3" s="498"/>
      <c r="V3" s="498"/>
      <c r="W3" s="498"/>
      <c r="X3" s="498"/>
      <c r="Y3" s="498"/>
      <c r="Z3" s="499"/>
      <c r="AA3" s="499"/>
      <c r="AB3" s="499"/>
      <c r="AC3" s="499"/>
      <c r="AD3" s="499"/>
      <c r="AE3" s="499"/>
      <c r="AF3" s="499"/>
      <c r="AG3" s="499"/>
      <c r="AH3" s="499"/>
      <c r="AI3" s="499"/>
      <c r="AJ3" s="497"/>
      <c r="AK3" s="497"/>
      <c r="AL3" s="499"/>
      <c r="AM3" s="499"/>
      <c r="AN3" s="499"/>
      <c r="AO3" s="499"/>
      <c r="AP3" s="499"/>
      <c r="AQ3" s="498"/>
      <c r="AR3" s="498"/>
      <c r="AS3" s="498"/>
      <c r="AT3" s="491"/>
      <c r="AV3" s="498"/>
      <c r="AW3" s="498"/>
      <c r="AX3" s="498"/>
      <c r="BA3" s="498"/>
      <c r="BB3" s="498"/>
      <c r="BC3" s="498"/>
    </row>
    <row r="4" spans="1:55" s="500" customFormat="1" ht="21.65" hidden="1" customHeight="1" x14ac:dyDescent="0.25">
      <c r="A4" s="491"/>
      <c r="B4" s="491"/>
      <c r="C4" s="529"/>
      <c r="D4" s="491"/>
      <c r="E4" s="491"/>
      <c r="F4" s="491"/>
      <c r="G4" s="492"/>
      <c r="H4" s="494"/>
      <c r="I4" s="494"/>
      <c r="J4" s="495"/>
      <c r="K4" s="492"/>
      <c r="L4" s="492"/>
      <c r="M4" s="492"/>
      <c r="N4" s="498"/>
      <c r="O4" s="498"/>
      <c r="P4" s="498"/>
      <c r="Q4" s="498"/>
      <c r="R4" s="498"/>
      <c r="S4" s="498"/>
      <c r="T4" s="498"/>
      <c r="U4" s="498"/>
      <c r="V4" s="498"/>
      <c r="W4" s="498"/>
      <c r="X4" s="498"/>
      <c r="Y4" s="498"/>
      <c r="Z4" s="499"/>
      <c r="AA4" s="499"/>
      <c r="AB4" s="499"/>
      <c r="AC4" s="499"/>
      <c r="AD4" s="499"/>
      <c r="AE4" s="499"/>
      <c r="AF4" s="499"/>
      <c r="AG4" s="499"/>
      <c r="AH4" s="499"/>
      <c r="AI4" s="499"/>
      <c r="AJ4" s="497"/>
      <c r="AK4" s="497"/>
      <c r="AL4" s="499"/>
      <c r="AM4" s="499"/>
      <c r="AN4" s="499"/>
      <c r="AO4" s="499"/>
      <c r="AP4" s="499"/>
      <c r="AQ4" s="498"/>
      <c r="AR4" s="498"/>
      <c r="AS4" s="498"/>
      <c r="AT4" s="491"/>
      <c r="AV4" s="498"/>
      <c r="AW4" s="498"/>
      <c r="AX4" s="498"/>
      <c r="BA4" s="498"/>
      <c r="BB4" s="498"/>
      <c r="BC4" s="498"/>
    </row>
    <row r="5" spans="1:55" s="500" customFormat="1" ht="21.65" hidden="1" customHeight="1" thickBot="1" x14ac:dyDescent="0.3">
      <c r="A5" s="491"/>
      <c r="B5" s="491"/>
      <c r="C5" s="529"/>
      <c r="D5" s="491"/>
      <c r="E5" s="491"/>
      <c r="F5" s="491"/>
      <c r="G5" s="492"/>
      <c r="H5" s="494"/>
      <c r="I5" s="494"/>
      <c r="J5" s="495"/>
      <c r="K5" s="492"/>
      <c r="L5" s="492"/>
      <c r="M5" s="492"/>
      <c r="N5" s="498"/>
      <c r="O5" s="498"/>
      <c r="P5" s="498"/>
      <c r="Q5" s="498"/>
      <c r="R5" s="498"/>
      <c r="S5" s="498"/>
      <c r="T5" s="498"/>
      <c r="U5" s="498"/>
      <c r="V5" s="498"/>
      <c r="W5" s="498"/>
      <c r="X5" s="498"/>
      <c r="Y5" s="498"/>
      <c r="Z5" s="499"/>
      <c r="AA5" s="499"/>
      <c r="AB5" s="499"/>
      <c r="AC5" s="499"/>
      <c r="AD5" s="499"/>
      <c r="AE5" s="499"/>
      <c r="AF5" s="499"/>
      <c r="AG5" s="499"/>
      <c r="AH5" s="499"/>
      <c r="AI5" s="499"/>
      <c r="AJ5" s="497"/>
      <c r="AK5" s="497"/>
      <c r="AL5" s="499"/>
      <c r="AM5" s="499"/>
      <c r="AN5" s="499"/>
      <c r="AO5" s="499"/>
      <c r="AP5" s="499"/>
      <c r="AQ5" s="498"/>
      <c r="AR5" s="498"/>
      <c r="AS5" s="498"/>
      <c r="AT5" s="491"/>
      <c r="AV5" s="498"/>
      <c r="AW5" s="498"/>
      <c r="AX5" s="498"/>
      <c r="BA5" s="498"/>
      <c r="BB5" s="498"/>
      <c r="BC5" s="498"/>
    </row>
    <row r="6" spans="1:55" s="520" customFormat="1" ht="30" customHeight="1" x14ac:dyDescent="0.35">
      <c r="A6" s="521" t="s">
        <v>1904</v>
      </c>
      <c r="B6" s="380" t="s">
        <v>1903</v>
      </c>
      <c r="C6" s="471" t="s">
        <v>1905</v>
      </c>
      <c r="D6" s="521" t="s">
        <v>1881</v>
      </c>
      <c r="E6" s="380" t="s">
        <v>1890</v>
      </c>
      <c r="F6" s="521" t="s">
        <v>1729</v>
      </c>
      <c r="G6" s="519" t="s">
        <v>1906</v>
      </c>
      <c r="H6" s="522" t="s">
        <v>1907</v>
      </c>
      <c r="I6" s="522" t="s">
        <v>1908</v>
      </c>
      <c r="J6" s="523" t="s">
        <v>1929</v>
      </c>
      <c r="K6" s="519" t="s">
        <v>1893</v>
      </c>
      <c r="L6" s="519" t="s">
        <v>1910</v>
      </c>
      <c r="M6" s="519" t="s">
        <v>1909</v>
      </c>
    </row>
  </sheetData>
  <autoFilter ref="A6:M6" xr:uid="{C4F2D4A0-6534-4930-A5BF-FE8A77C2F0E7}"/>
  <phoneticPr fontId="55" type="noConversion"/>
  <dataValidations count="6">
    <dataValidation type="list" allowBlank="1" showInputMessage="1" showErrorMessage="1" sqref="J1:J5 J7:J1048576" xr:uid="{9DB21734-0D34-4FC9-9CF4-F2D62F6EBBD4}">
      <formula1>"SI,NO,N/A"</formula1>
    </dataValidation>
    <dataValidation allowBlank="1" showInputMessage="1" showErrorMessage="1" errorTitle="Contribuyentes" error="Tiene que ingresar el código de Identificación (1-2-3)" sqref="IY6 SU6 ACQ6 AMM6 AWI6 BGE6 BQA6 BZW6 CJS6 CTO6 DDK6 DNG6 DXC6 EGY6 EQU6 FAQ6 FKM6 FUI6 GEE6 GOA6 GXW6 HHS6 HRO6 IBK6 ILG6 IVC6 JEY6 JOU6 JYQ6 KIM6 KSI6 LCE6 LMA6 LVW6 MFS6 MPO6 MZK6 NJG6 NTC6 OCY6 OMU6 OWQ6 PGM6 PQI6 QAE6 QKA6 QTW6 RDS6 RNO6 RXK6 SHG6 SRC6 TAY6 TKU6 TUQ6 UEM6 UOI6 UYE6 VIA6 VRW6 WBS6 WLO6 WVK6 IY65517 SU65517 ACQ65517 AMM65517 AWI65517 BGE65517 BQA65517 BZW65517 CJS65517 CTO65517 DDK65517 DNG65517 DXC65517 EGY65517 EQU65517 FAQ65517 FKM65517 FUI65517 GEE65517 GOA65517 GXW65517 HHS65517 HRO65517 IBK65517 ILG65517 IVC65517 JEY65517 JOU65517 JYQ65517 KIM65517 KSI65517 LCE65517 LMA65517 LVW65517 MFS65517 MPO65517 MZK65517 NJG65517 NTC65517 OCY65517 OMU65517 OWQ65517 PGM65517 PQI65517 QAE65517 QKA65517 QTW65517 RDS65517 RNO65517 RXK65517 SHG65517 SRC65517 TAY65517 TKU65517 TUQ65517 UEM65517 UOI65517 UYE65517 VIA65517 VRW65517 WBS65517 WLO65517 WVK65517 IY131053 SU131053 ACQ131053 AMM131053 AWI131053 BGE131053 BQA131053 BZW131053 CJS131053 CTO131053 DDK131053 DNG131053 DXC131053 EGY131053 EQU131053 FAQ131053 FKM131053 FUI131053 GEE131053 GOA131053 GXW131053 HHS131053 HRO131053 IBK131053 ILG131053 IVC131053 JEY131053 JOU131053 JYQ131053 KIM131053 KSI131053 LCE131053 LMA131053 LVW131053 MFS131053 MPO131053 MZK131053 NJG131053 NTC131053 OCY131053 OMU131053 OWQ131053 PGM131053 PQI131053 QAE131053 QKA131053 QTW131053 RDS131053 RNO131053 RXK131053 SHG131053 SRC131053 TAY131053 TKU131053 TUQ131053 UEM131053 UOI131053 UYE131053 VIA131053 VRW131053 WBS131053 WLO131053 WVK131053 IY196589 SU196589 ACQ196589 AMM196589 AWI196589 BGE196589 BQA196589 BZW196589 CJS196589 CTO196589 DDK196589 DNG196589 DXC196589 EGY196589 EQU196589 FAQ196589 FKM196589 FUI196589 GEE196589 GOA196589 GXW196589 HHS196589 HRO196589 IBK196589 ILG196589 IVC196589 JEY196589 JOU196589 JYQ196589 KIM196589 KSI196589 LCE196589 LMA196589 LVW196589 MFS196589 MPO196589 MZK196589 NJG196589 NTC196589 OCY196589 OMU196589 OWQ196589 PGM196589 PQI196589 QAE196589 QKA196589 QTW196589 RDS196589 RNO196589 RXK196589 SHG196589 SRC196589 TAY196589 TKU196589 TUQ196589 UEM196589 UOI196589 UYE196589 VIA196589 VRW196589 WBS196589 WLO196589 WVK196589 IY262125 SU262125 ACQ262125 AMM262125 AWI262125 BGE262125 BQA262125 BZW262125 CJS262125 CTO262125 DDK262125 DNG262125 DXC262125 EGY262125 EQU262125 FAQ262125 FKM262125 FUI262125 GEE262125 GOA262125 GXW262125 HHS262125 HRO262125 IBK262125 ILG262125 IVC262125 JEY262125 JOU262125 JYQ262125 KIM262125 KSI262125 LCE262125 LMA262125 LVW262125 MFS262125 MPO262125 MZK262125 NJG262125 NTC262125 OCY262125 OMU262125 OWQ262125 PGM262125 PQI262125 QAE262125 QKA262125 QTW262125 RDS262125 RNO262125 RXK262125 SHG262125 SRC262125 TAY262125 TKU262125 TUQ262125 UEM262125 UOI262125 UYE262125 VIA262125 VRW262125 WBS262125 WLO262125 WVK262125 IY327661 SU327661 ACQ327661 AMM327661 AWI327661 BGE327661 BQA327661 BZW327661 CJS327661 CTO327661 DDK327661 DNG327661 DXC327661 EGY327661 EQU327661 FAQ327661 FKM327661 FUI327661 GEE327661 GOA327661 GXW327661 HHS327661 HRO327661 IBK327661 ILG327661 IVC327661 JEY327661 JOU327661 JYQ327661 KIM327661 KSI327661 LCE327661 LMA327661 LVW327661 MFS327661 MPO327661 MZK327661 NJG327661 NTC327661 OCY327661 OMU327661 OWQ327661 PGM327661 PQI327661 QAE327661 QKA327661 QTW327661 RDS327661 RNO327661 RXK327661 SHG327661 SRC327661 TAY327661 TKU327661 TUQ327661 UEM327661 UOI327661 UYE327661 VIA327661 VRW327661 WBS327661 WLO327661 WVK327661 IY393197 SU393197 ACQ393197 AMM393197 AWI393197 BGE393197 BQA393197 BZW393197 CJS393197 CTO393197 DDK393197 DNG393197 DXC393197 EGY393197 EQU393197 FAQ393197 FKM393197 FUI393197 GEE393197 GOA393197 GXW393197 HHS393197 HRO393197 IBK393197 ILG393197 IVC393197 JEY393197 JOU393197 JYQ393197 KIM393197 KSI393197 LCE393197 LMA393197 LVW393197 MFS393197 MPO393197 MZK393197 NJG393197 NTC393197 OCY393197 OMU393197 OWQ393197 PGM393197 PQI393197 QAE393197 QKA393197 QTW393197 RDS393197 RNO393197 RXK393197 SHG393197 SRC393197 TAY393197 TKU393197 TUQ393197 UEM393197 UOI393197 UYE393197 VIA393197 VRW393197 WBS393197 WLO393197 WVK393197 IY458733 SU458733 ACQ458733 AMM458733 AWI458733 BGE458733 BQA458733 BZW458733 CJS458733 CTO458733 DDK458733 DNG458733 DXC458733 EGY458733 EQU458733 FAQ458733 FKM458733 FUI458733 GEE458733 GOA458733 GXW458733 HHS458733 HRO458733 IBK458733 ILG458733 IVC458733 JEY458733 JOU458733 JYQ458733 KIM458733 KSI458733 LCE458733 LMA458733 LVW458733 MFS458733 MPO458733 MZK458733 NJG458733 NTC458733 OCY458733 OMU458733 OWQ458733 PGM458733 PQI458733 QAE458733 QKA458733 QTW458733 RDS458733 RNO458733 RXK458733 SHG458733 SRC458733 TAY458733 TKU458733 TUQ458733 UEM458733 UOI458733 UYE458733 VIA458733 VRW458733 WBS458733 WLO458733 WVK458733 IY524269 SU524269 ACQ524269 AMM524269 AWI524269 BGE524269 BQA524269 BZW524269 CJS524269 CTO524269 DDK524269 DNG524269 DXC524269 EGY524269 EQU524269 FAQ524269 FKM524269 FUI524269 GEE524269 GOA524269 GXW524269 HHS524269 HRO524269 IBK524269 ILG524269 IVC524269 JEY524269 JOU524269 JYQ524269 KIM524269 KSI524269 LCE524269 LMA524269 LVW524269 MFS524269 MPO524269 MZK524269 NJG524269 NTC524269 OCY524269 OMU524269 OWQ524269 PGM524269 PQI524269 QAE524269 QKA524269 QTW524269 RDS524269 RNO524269 RXK524269 SHG524269 SRC524269 TAY524269 TKU524269 TUQ524269 UEM524269 UOI524269 UYE524269 VIA524269 VRW524269 WBS524269 WLO524269 WVK524269 IY589805 SU589805 ACQ589805 AMM589805 AWI589805 BGE589805 BQA589805 BZW589805 CJS589805 CTO589805 DDK589805 DNG589805 DXC589805 EGY589805 EQU589805 FAQ589805 FKM589805 FUI589805 GEE589805 GOA589805 GXW589805 HHS589805 HRO589805 IBK589805 ILG589805 IVC589805 JEY589805 JOU589805 JYQ589805 KIM589805 KSI589805 LCE589805 LMA589805 LVW589805 MFS589805 MPO589805 MZK589805 NJG589805 NTC589805 OCY589805 OMU589805 OWQ589805 PGM589805 PQI589805 QAE589805 QKA589805 QTW589805 RDS589805 RNO589805 RXK589805 SHG589805 SRC589805 TAY589805 TKU589805 TUQ589805 UEM589805 UOI589805 UYE589805 VIA589805 VRW589805 WBS589805 WLO589805 WVK589805 IY655341 SU655341 ACQ655341 AMM655341 AWI655341 BGE655341 BQA655341 BZW655341 CJS655341 CTO655341 DDK655341 DNG655341 DXC655341 EGY655341 EQU655341 FAQ655341 FKM655341 FUI655341 GEE655341 GOA655341 GXW655341 HHS655341 HRO655341 IBK655341 ILG655341 IVC655341 JEY655341 JOU655341 JYQ655341 KIM655341 KSI655341 LCE655341 LMA655341 LVW655341 MFS655341 MPO655341 MZK655341 NJG655341 NTC655341 OCY655341 OMU655341 OWQ655341 PGM655341 PQI655341 QAE655341 QKA655341 QTW655341 RDS655341 RNO655341 RXK655341 SHG655341 SRC655341 TAY655341 TKU655341 TUQ655341 UEM655341 UOI655341 UYE655341 VIA655341 VRW655341 WBS655341 WLO655341 WVK655341 IY720877 SU720877 ACQ720877 AMM720877 AWI720877 BGE720877 BQA720877 BZW720877 CJS720877 CTO720877 DDK720877 DNG720877 DXC720877 EGY720877 EQU720877 FAQ720877 FKM720877 FUI720877 GEE720877 GOA720877 GXW720877 HHS720877 HRO720877 IBK720877 ILG720877 IVC720877 JEY720877 JOU720877 JYQ720877 KIM720877 KSI720877 LCE720877 LMA720877 LVW720877 MFS720877 MPO720877 MZK720877 NJG720877 NTC720877 OCY720877 OMU720877 OWQ720877 PGM720877 PQI720877 QAE720877 QKA720877 QTW720877 RDS720877 RNO720877 RXK720877 SHG720877 SRC720877 TAY720877 TKU720877 TUQ720877 UEM720877 UOI720877 UYE720877 VIA720877 VRW720877 WBS720877 WLO720877 WVK720877 IY786413 SU786413 ACQ786413 AMM786413 AWI786413 BGE786413 BQA786413 BZW786413 CJS786413 CTO786413 DDK786413 DNG786413 DXC786413 EGY786413 EQU786413 FAQ786413 FKM786413 FUI786413 GEE786413 GOA786413 GXW786413 HHS786413 HRO786413 IBK786413 ILG786413 IVC786413 JEY786413 JOU786413 JYQ786413 KIM786413 KSI786413 LCE786413 LMA786413 LVW786413 MFS786413 MPO786413 MZK786413 NJG786413 NTC786413 OCY786413 OMU786413 OWQ786413 PGM786413 PQI786413 QAE786413 QKA786413 QTW786413 RDS786413 RNO786413 RXK786413 SHG786413 SRC786413 TAY786413 TKU786413 TUQ786413 UEM786413 UOI786413 UYE786413 VIA786413 VRW786413 WBS786413 WLO786413 WVK786413 IY851949 SU851949 ACQ851949 AMM851949 AWI851949 BGE851949 BQA851949 BZW851949 CJS851949 CTO851949 DDK851949 DNG851949 DXC851949 EGY851949 EQU851949 FAQ851949 FKM851949 FUI851949 GEE851949 GOA851949 GXW851949 HHS851949 HRO851949 IBK851949 ILG851949 IVC851949 JEY851949 JOU851949 JYQ851949 KIM851949 KSI851949 LCE851949 LMA851949 LVW851949 MFS851949 MPO851949 MZK851949 NJG851949 NTC851949 OCY851949 OMU851949 OWQ851949 PGM851949 PQI851949 QAE851949 QKA851949 QTW851949 RDS851949 RNO851949 RXK851949 SHG851949 SRC851949 TAY851949 TKU851949 TUQ851949 UEM851949 UOI851949 UYE851949 VIA851949 VRW851949 WBS851949 WLO851949 WVK851949 IY917485 SU917485 ACQ917485 AMM917485 AWI917485 BGE917485 BQA917485 BZW917485 CJS917485 CTO917485 DDK917485 DNG917485 DXC917485 EGY917485 EQU917485 FAQ917485 FKM917485 FUI917485 GEE917485 GOA917485 GXW917485 HHS917485 HRO917485 IBK917485 ILG917485 IVC917485 JEY917485 JOU917485 JYQ917485 KIM917485 KSI917485 LCE917485 LMA917485 LVW917485 MFS917485 MPO917485 MZK917485 NJG917485 NTC917485 OCY917485 OMU917485 OWQ917485 PGM917485 PQI917485 QAE917485 QKA917485 QTW917485 RDS917485 RNO917485 RXK917485 SHG917485 SRC917485 TAY917485 TKU917485 TUQ917485 UEM917485 UOI917485 UYE917485 VIA917485 VRW917485 WBS917485 WLO917485 WVK917485 WVK983021 IY983021 SU983021 ACQ983021 AMM983021 AWI983021 BGE983021 BQA983021 BZW983021 CJS983021 CTO983021 DDK983021 DNG983021 DXC983021 EGY983021 EQU983021 FAQ983021 FKM983021 FUI983021 GEE983021 GOA983021 GXW983021 HHS983021 HRO983021 IBK983021 ILG983021 IVC983021 JEY983021 JOU983021 JYQ983021 KIM983021 KSI983021 LCE983021 LMA983021 LVW983021 MFS983021 MPO983021 MZK983021 NJG983021 NTC983021 OCY983021 OMU983021 OWQ983021 PGM983021 PQI983021 QAE983021 QKA983021 QTW983021 RDS983021 RNO983021 RXK983021 SHG983021 SRC983021 TAY983021 TKU983021 TUQ983021 UEM983021 UOI983021 UYE983021 VIA983021 VRW983021 WBS983021 WLO983021 D6 F6 A6 A131053:F131053 A196589:F196589 A262125:F262125 A327661:F327661 A393197:F393197 A458733:F458733 A524269:F524269 A589805:F589805 A655341:F655341 A720877:F720877 A786413:F786413 A851949:F851949 A917485:F917485 A983021:F983021 A65517:F65517" xr:uid="{7EE1AF09-D47A-4B7F-A08B-C69EB48729D1}"/>
    <dataValidation type="textLength" operator="lessThanOrEqual" allowBlank="1" showInputMessage="1" showErrorMessage="1" errorTitle="FactelExcel" error="Debe ingresar un valor correcto para la Descripcion de Productos" sqref="IZ65518:IZ131051 SV65518:SV131051 ACR65518:ACR131051 AMN65518:AMN131051 AWJ65518:AWJ131051 BGF65518:BGF131051 BQB65518:BQB131051 BZX65518:BZX131051 CJT65518:CJT131051 CTP65518:CTP131051 DDL65518:DDL131051 DNH65518:DNH131051 DXD65518:DXD131051 EGZ65518:EGZ131051 EQV65518:EQV131051 FAR65518:FAR131051 FKN65518:FKN131051 FUJ65518:FUJ131051 GEF65518:GEF131051 GOB65518:GOB131051 GXX65518:GXX131051 HHT65518:HHT131051 HRP65518:HRP131051 IBL65518:IBL131051 ILH65518:ILH131051 IVD65518:IVD131051 JEZ65518:JEZ131051 JOV65518:JOV131051 JYR65518:JYR131051 KIN65518:KIN131051 KSJ65518:KSJ131051 LCF65518:LCF131051 LMB65518:LMB131051 LVX65518:LVX131051 MFT65518:MFT131051 MPP65518:MPP131051 MZL65518:MZL131051 NJH65518:NJH131051 NTD65518:NTD131051 OCZ65518:OCZ131051 OMV65518:OMV131051 OWR65518:OWR131051 PGN65518:PGN131051 PQJ65518:PQJ131051 QAF65518:QAF131051 QKB65518:QKB131051 QTX65518:QTX131051 RDT65518:RDT131051 RNP65518:RNP131051 RXL65518:RXL131051 SHH65518:SHH131051 SRD65518:SRD131051 TAZ65518:TAZ131051 TKV65518:TKV131051 TUR65518:TUR131051 UEN65518:UEN131051 UOJ65518:UOJ131051 UYF65518:UYF131051 VIB65518:VIB131051 VRX65518:VRX131051 WBT65518:WBT131051 WLP65518:WLP131051 WVL65518:WVL131051 IZ131054:IZ196587 SV131054:SV196587 ACR131054:ACR196587 AMN131054:AMN196587 AWJ131054:AWJ196587 BGF131054:BGF196587 BQB131054:BQB196587 BZX131054:BZX196587 CJT131054:CJT196587 CTP131054:CTP196587 DDL131054:DDL196587 DNH131054:DNH196587 DXD131054:DXD196587 EGZ131054:EGZ196587 EQV131054:EQV196587 FAR131054:FAR196587 FKN131054:FKN196587 FUJ131054:FUJ196587 GEF131054:GEF196587 GOB131054:GOB196587 GXX131054:GXX196587 HHT131054:HHT196587 HRP131054:HRP196587 IBL131054:IBL196587 ILH131054:ILH196587 IVD131054:IVD196587 JEZ131054:JEZ196587 JOV131054:JOV196587 JYR131054:JYR196587 KIN131054:KIN196587 KSJ131054:KSJ196587 LCF131054:LCF196587 LMB131054:LMB196587 LVX131054:LVX196587 MFT131054:MFT196587 MPP131054:MPP196587 MZL131054:MZL196587 NJH131054:NJH196587 NTD131054:NTD196587 OCZ131054:OCZ196587 OMV131054:OMV196587 OWR131054:OWR196587 PGN131054:PGN196587 PQJ131054:PQJ196587 QAF131054:QAF196587 QKB131054:QKB196587 QTX131054:QTX196587 RDT131054:RDT196587 RNP131054:RNP196587 RXL131054:RXL196587 SHH131054:SHH196587 SRD131054:SRD196587 TAZ131054:TAZ196587 TKV131054:TKV196587 TUR131054:TUR196587 UEN131054:UEN196587 UOJ131054:UOJ196587 UYF131054:UYF196587 VIB131054:VIB196587 VRX131054:VRX196587 WBT131054:WBT196587 WLP131054:WLP196587 WVL131054:WVL196587 IZ196590:IZ262123 SV196590:SV262123 ACR196590:ACR262123 AMN196590:AMN262123 AWJ196590:AWJ262123 BGF196590:BGF262123 BQB196590:BQB262123 BZX196590:BZX262123 CJT196590:CJT262123 CTP196590:CTP262123 DDL196590:DDL262123 DNH196590:DNH262123 DXD196590:DXD262123 EGZ196590:EGZ262123 EQV196590:EQV262123 FAR196590:FAR262123 FKN196590:FKN262123 FUJ196590:FUJ262123 GEF196590:GEF262123 GOB196590:GOB262123 GXX196590:GXX262123 HHT196590:HHT262123 HRP196590:HRP262123 IBL196590:IBL262123 ILH196590:ILH262123 IVD196590:IVD262123 JEZ196590:JEZ262123 JOV196590:JOV262123 JYR196590:JYR262123 KIN196590:KIN262123 KSJ196590:KSJ262123 LCF196590:LCF262123 LMB196590:LMB262123 LVX196590:LVX262123 MFT196590:MFT262123 MPP196590:MPP262123 MZL196590:MZL262123 NJH196590:NJH262123 NTD196590:NTD262123 OCZ196590:OCZ262123 OMV196590:OMV262123 OWR196590:OWR262123 PGN196590:PGN262123 PQJ196590:PQJ262123 QAF196590:QAF262123 QKB196590:QKB262123 QTX196590:QTX262123 RDT196590:RDT262123 RNP196590:RNP262123 RXL196590:RXL262123 SHH196590:SHH262123 SRD196590:SRD262123 TAZ196590:TAZ262123 TKV196590:TKV262123 TUR196590:TUR262123 UEN196590:UEN262123 UOJ196590:UOJ262123 UYF196590:UYF262123 VIB196590:VIB262123 VRX196590:VRX262123 WBT196590:WBT262123 WLP196590:WLP262123 WVL196590:WVL262123 IZ262126:IZ327659 SV262126:SV327659 ACR262126:ACR327659 AMN262126:AMN327659 AWJ262126:AWJ327659 BGF262126:BGF327659 BQB262126:BQB327659 BZX262126:BZX327659 CJT262126:CJT327659 CTP262126:CTP327659 DDL262126:DDL327659 DNH262126:DNH327659 DXD262126:DXD327659 EGZ262126:EGZ327659 EQV262126:EQV327659 FAR262126:FAR327659 FKN262126:FKN327659 FUJ262126:FUJ327659 GEF262126:GEF327659 GOB262126:GOB327659 GXX262126:GXX327659 HHT262126:HHT327659 HRP262126:HRP327659 IBL262126:IBL327659 ILH262126:ILH327659 IVD262126:IVD327659 JEZ262126:JEZ327659 JOV262126:JOV327659 JYR262126:JYR327659 KIN262126:KIN327659 KSJ262126:KSJ327659 LCF262126:LCF327659 LMB262126:LMB327659 LVX262126:LVX327659 MFT262126:MFT327659 MPP262126:MPP327659 MZL262126:MZL327659 NJH262126:NJH327659 NTD262126:NTD327659 OCZ262126:OCZ327659 OMV262126:OMV327659 OWR262126:OWR327659 PGN262126:PGN327659 PQJ262126:PQJ327659 QAF262126:QAF327659 QKB262126:QKB327659 QTX262126:QTX327659 RDT262126:RDT327659 RNP262126:RNP327659 RXL262126:RXL327659 SHH262126:SHH327659 SRD262126:SRD327659 TAZ262126:TAZ327659 TKV262126:TKV327659 TUR262126:TUR327659 UEN262126:UEN327659 UOJ262126:UOJ327659 UYF262126:UYF327659 VIB262126:VIB327659 VRX262126:VRX327659 WBT262126:WBT327659 WLP262126:WLP327659 WVL262126:WVL327659 IZ327662:IZ393195 SV327662:SV393195 ACR327662:ACR393195 AMN327662:AMN393195 AWJ327662:AWJ393195 BGF327662:BGF393195 BQB327662:BQB393195 BZX327662:BZX393195 CJT327662:CJT393195 CTP327662:CTP393195 DDL327662:DDL393195 DNH327662:DNH393195 DXD327662:DXD393195 EGZ327662:EGZ393195 EQV327662:EQV393195 FAR327662:FAR393195 FKN327662:FKN393195 FUJ327662:FUJ393195 GEF327662:GEF393195 GOB327662:GOB393195 GXX327662:GXX393195 HHT327662:HHT393195 HRP327662:HRP393195 IBL327662:IBL393195 ILH327662:ILH393195 IVD327662:IVD393195 JEZ327662:JEZ393195 JOV327662:JOV393195 JYR327662:JYR393195 KIN327662:KIN393195 KSJ327662:KSJ393195 LCF327662:LCF393195 LMB327662:LMB393195 LVX327662:LVX393195 MFT327662:MFT393195 MPP327662:MPP393195 MZL327662:MZL393195 NJH327662:NJH393195 NTD327662:NTD393195 OCZ327662:OCZ393195 OMV327662:OMV393195 OWR327662:OWR393195 PGN327662:PGN393195 PQJ327662:PQJ393195 QAF327662:QAF393195 QKB327662:QKB393195 QTX327662:QTX393195 RDT327662:RDT393195 RNP327662:RNP393195 RXL327662:RXL393195 SHH327662:SHH393195 SRD327662:SRD393195 TAZ327662:TAZ393195 TKV327662:TKV393195 TUR327662:TUR393195 UEN327662:UEN393195 UOJ327662:UOJ393195 UYF327662:UYF393195 VIB327662:VIB393195 VRX327662:VRX393195 WBT327662:WBT393195 WLP327662:WLP393195 WVL327662:WVL393195 IZ393198:IZ458731 SV393198:SV458731 ACR393198:ACR458731 AMN393198:AMN458731 AWJ393198:AWJ458731 BGF393198:BGF458731 BQB393198:BQB458731 BZX393198:BZX458731 CJT393198:CJT458731 CTP393198:CTP458731 DDL393198:DDL458731 DNH393198:DNH458731 DXD393198:DXD458731 EGZ393198:EGZ458731 EQV393198:EQV458731 FAR393198:FAR458731 FKN393198:FKN458731 FUJ393198:FUJ458731 GEF393198:GEF458731 GOB393198:GOB458731 GXX393198:GXX458731 HHT393198:HHT458731 HRP393198:HRP458731 IBL393198:IBL458731 ILH393198:ILH458731 IVD393198:IVD458731 JEZ393198:JEZ458731 JOV393198:JOV458731 JYR393198:JYR458731 KIN393198:KIN458731 KSJ393198:KSJ458731 LCF393198:LCF458731 LMB393198:LMB458731 LVX393198:LVX458731 MFT393198:MFT458731 MPP393198:MPP458731 MZL393198:MZL458731 NJH393198:NJH458731 NTD393198:NTD458731 OCZ393198:OCZ458731 OMV393198:OMV458731 OWR393198:OWR458731 PGN393198:PGN458731 PQJ393198:PQJ458731 QAF393198:QAF458731 QKB393198:QKB458731 QTX393198:QTX458731 RDT393198:RDT458731 RNP393198:RNP458731 RXL393198:RXL458731 SHH393198:SHH458731 SRD393198:SRD458731 TAZ393198:TAZ458731 TKV393198:TKV458731 TUR393198:TUR458731 UEN393198:UEN458731 UOJ393198:UOJ458731 UYF393198:UYF458731 VIB393198:VIB458731 VRX393198:VRX458731 WBT393198:WBT458731 WLP393198:WLP458731 WVL393198:WVL458731 IZ458734:IZ524267 SV458734:SV524267 ACR458734:ACR524267 AMN458734:AMN524267 AWJ458734:AWJ524267 BGF458734:BGF524267 BQB458734:BQB524267 BZX458734:BZX524267 CJT458734:CJT524267 CTP458734:CTP524267 DDL458734:DDL524267 DNH458734:DNH524267 DXD458734:DXD524267 EGZ458734:EGZ524267 EQV458734:EQV524267 FAR458734:FAR524267 FKN458734:FKN524267 FUJ458734:FUJ524267 GEF458734:GEF524267 GOB458734:GOB524267 GXX458734:GXX524267 HHT458734:HHT524267 HRP458734:HRP524267 IBL458734:IBL524267 ILH458734:ILH524267 IVD458734:IVD524267 JEZ458734:JEZ524267 JOV458734:JOV524267 JYR458734:JYR524267 KIN458734:KIN524267 KSJ458734:KSJ524267 LCF458734:LCF524267 LMB458734:LMB524267 LVX458734:LVX524267 MFT458734:MFT524267 MPP458734:MPP524267 MZL458734:MZL524267 NJH458734:NJH524267 NTD458734:NTD524267 OCZ458734:OCZ524267 OMV458734:OMV524267 OWR458734:OWR524267 PGN458734:PGN524267 PQJ458734:PQJ524267 QAF458734:QAF524267 QKB458734:QKB524267 QTX458734:QTX524267 RDT458734:RDT524267 RNP458734:RNP524267 RXL458734:RXL524267 SHH458734:SHH524267 SRD458734:SRD524267 TAZ458734:TAZ524267 TKV458734:TKV524267 TUR458734:TUR524267 UEN458734:UEN524267 UOJ458734:UOJ524267 UYF458734:UYF524267 VIB458734:VIB524267 VRX458734:VRX524267 WBT458734:WBT524267 WLP458734:WLP524267 WVL458734:WVL524267 IZ524270:IZ589803 SV524270:SV589803 ACR524270:ACR589803 AMN524270:AMN589803 AWJ524270:AWJ589803 BGF524270:BGF589803 BQB524270:BQB589803 BZX524270:BZX589803 CJT524270:CJT589803 CTP524270:CTP589803 DDL524270:DDL589803 DNH524270:DNH589803 DXD524270:DXD589803 EGZ524270:EGZ589803 EQV524270:EQV589803 FAR524270:FAR589803 FKN524270:FKN589803 FUJ524270:FUJ589803 GEF524270:GEF589803 GOB524270:GOB589803 GXX524270:GXX589803 HHT524270:HHT589803 HRP524270:HRP589803 IBL524270:IBL589803 ILH524270:ILH589803 IVD524270:IVD589803 JEZ524270:JEZ589803 JOV524270:JOV589803 JYR524270:JYR589803 KIN524270:KIN589803 KSJ524270:KSJ589803 LCF524270:LCF589803 LMB524270:LMB589803 LVX524270:LVX589803 MFT524270:MFT589803 MPP524270:MPP589803 MZL524270:MZL589803 NJH524270:NJH589803 NTD524270:NTD589803 OCZ524270:OCZ589803 OMV524270:OMV589803 OWR524270:OWR589803 PGN524270:PGN589803 PQJ524270:PQJ589803 QAF524270:QAF589803 QKB524270:QKB589803 QTX524270:QTX589803 RDT524270:RDT589803 RNP524270:RNP589803 RXL524270:RXL589803 SHH524270:SHH589803 SRD524270:SRD589803 TAZ524270:TAZ589803 TKV524270:TKV589803 TUR524270:TUR589803 UEN524270:UEN589803 UOJ524270:UOJ589803 UYF524270:UYF589803 VIB524270:VIB589803 VRX524270:VRX589803 WBT524270:WBT589803 WLP524270:WLP589803 WVL524270:WVL589803 IZ589806:IZ655339 SV589806:SV655339 ACR589806:ACR655339 AMN589806:AMN655339 AWJ589806:AWJ655339 BGF589806:BGF655339 BQB589806:BQB655339 BZX589806:BZX655339 CJT589806:CJT655339 CTP589806:CTP655339 DDL589806:DDL655339 DNH589806:DNH655339 DXD589806:DXD655339 EGZ589806:EGZ655339 EQV589806:EQV655339 FAR589806:FAR655339 FKN589806:FKN655339 FUJ589806:FUJ655339 GEF589806:GEF655339 GOB589806:GOB655339 GXX589806:GXX655339 HHT589806:HHT655339 HRP589806:HRP655339 IBL589806:IBL655339 ILH589806:ILH655339 IVD589806:IVD655339 JEZ589806:JEZ655339 JOV589806:JOV655339 JYR589806:JYR655339 KIN589806:KIN655339 KSJ589806:KSJ655339 LCF589806:LCF655339 LMB589806:LMB655339 LVX589806:LVX655339 MFT589806:MFT655339 MPP589806:MPP655339 MZL589806:MZL655339 NJH589806:NJH655339 NTD589806:NTD655339 OCZ589806:OCZ655339 OMV589806:OMV655339 OWR589806:OWR655339 PGN589806:PGN655339 PQJ589806:PQJ655339 QAF589806:QAF655339 QKB589806:QKB655339 QTX589806:QTX655339 RDT589806:RDT655339 RNP589806:RNP655339 RXL589806:RXL655339 SHH589806:SHH655339 SRD589806:SRD655339 TAZ589806:TAZ655339 TKV589806:TKV655339 TUR589806:TUR655339 UEN589806:UEN655339 UOJ589806:UOJ655339 UYF589806:UYF655339 VIB589806:VIB655339 VRX589806:VRX655339 WBT589806:WBT655339 WLP589806:WLP655339 WVL589806:WVL655339 IZ655342:IZ720875 SV655342:SV720875 ACR655342:ACR720875 AMN655342:AMN720875 AWJ655342:AWJ720875 BGF655342:BGF720875 BQB655342:BQB720875 BZX655342:BZX720875 CJT655342:CJT720875 CTP655342:CTP720875 DDL655342:DDL720875 DNH655342:DNH720875 DXD655342:DXD720875 EGZ655342:EGZ720875 EQV655342:EQV720875 FAR655342:FAR720875 FKN655342:FKN720875 FUJ655342:FUJ720875 GEF655342:GEF720875 GOB655342:GOB720875 GXX655342:GXX720875 HHT655342:HHT720875 HRP655342:HRP720875 IBL655342:IBL720875 ILH655342:ILH720875 IVD655342:IVD720875 JEZ655342:JEZ720875 JOV655342:JOV720875 JYR655342:JYR720875 KIN655342:KIN720875 KSJ655342:KSJ720875 LCF655342:LCF720875 LMB655342:LMB720875 LVX655342:LVX720875 MFT655342:MFT720875 MPP655342:MPP720875 MZL655342:MZL720875 NJH655342:NJH720875 NTD655342:NTD720875 OCZ655342:OCZ720875 OMV655342:OMV720875 OWR655342:OWR720875 PGN655342:PGN720875 PQJ655342:PQJ720875 QAF655342:QAF720875 QKB655342:QKB720875 QTX655342:QTX720875 RDT655342:RDT720875 RNP655342:RNP720875 RXL655342:RXL720875 SHH655342:SHH720875 SRD655342:SRD720875 TAZ655342:TAZ720875 TKV655342:TKV720875 TUR655342:TUR720875 UEN655342:UEN720875 UOJ655342:UOJ720875 UYF655342:UYF720875 VIB655342:VIB720875 VRX655342:VRX720875 WBT655342:WBT720875 WLP655342:WLP720875 WVL655342:WVL720875 IZ720878:IZ786411 SV720878:SV786411 ACR720878:ACR786411 AMN720878:AMN786411 AWJ720878:AWJ786411 BGF720878:BGF786411 BQB720878:BQB786411 BZX720878:BZX786411 CJT720878:CJT786411 CTP720878:CTP786411 DDL720878:DDL786411 DNH720878:DNH786411 DXD720878:DXD786411 EGZ720878:EGZ786411 EQV720878:EQV786411 FAR720878:FAR786411 FKN720878:FKN786411 FUJ720878:FUJ786411 GEF720878:GEF786411 GOB720878:GOB786411 GXX720878:GXX786411 HHT720878:HHT786411 HRP720878:HRP786411 IBL720878:IBL786411 ILH720878:ILH786411 IVD720878:IVD786411 JEZ720878:JEZ786411 JOV720878:JOV786411 JYR720878:JYR786411 KIN720878:KIN786411 KSJ720878:KSJ786411 LCF720878:LCF786411 LMB720878:LMB786411 LVX720878:LVX786411 MFT720878:MFT786411 MPP720878:MPP786411 MZL720878:MZL786411 NJH720878:NJH786411 NTD720878:NTD786411 OCZ720878:OCZ786411 OMV720878:OMV786411 OWR720878:OWR786411 PGN720878:PGN786411 PQJ720878:PQJ786411 QAF720878:QAF786411 QKB720878:QKB786411 QTX720878:QTX786411 RDT720878:RDT786411 RNP720878:RNP786411 RXL720878:RXL786411 SHH720878:SHH786411 SRD720878:SRD786411 TAZ720878:TAZ786411 TKV720878:TKV786411 TUR720878:TUR786411 UEN720878:UEN786411 UOJ720878:UOJ786411 UYF720878:UYF786411 VIB720878:VIB786411 VRX720878:VRX786411 WBT720878:WBT786411 WLP720878:WLP786411 WVL720878:WVL786411 IZ786414:IZ851947 SV786414:SV851947 ACR786414:ACR851947 AMN786414:AMN851947 AWJ786414:AWJ851947 BGF786414:BGF851947 BQB786414:BQB851947 BZX786414:BZX851947 CJT786414:CJT851947 CTP786414:CTP851947 DDL786414:DDL851947 DNH786414:DNH851947 DXD786414:DXD851947 EGZ786414:EGZ851947 EQV786414:EQV851947 FAR786414:FAR851947 FKN786414:FKN851947 FUJ786414:FUJ851947 GEF786414:GEF851947 GOB786414:GOB851947 GXX786414:GXX851947 HHT786414:HHT851947 HRP786414:HRP851947 IBL786414:IBL851947 ILH786414:ILH851947 IVD786414:IVD851947 JEZ786414:JEZ851947 JOV786414:JOV851947 JYR786414:JYR851947 KIN786414:KIN851947 KSJ786414:KSJ851947 LCF786414:LCF851947 LMB786414:LMB851947 LVX786414:LVX851947 MFT786414:MFT851947 MPP786414:MPP851947 MZL786414:MZL851947 NJH786414:NJH851947 NTD786414:NTD851947 OCZ786414:OCZ851947 OMV786414:OMV851947 OWR786414:OWR851947 PGN786414:PGN851947 PQJ786414:PQJ851947 QAF786414:QAF851947 QKB786414:QKB851947 QTX786414:QTX851947 RDT786414:RDT851947 RNP786414:RNP851947 RXL786414:RXL851947 SHH786414:SHH851947 SRD786414:SRD851947 TAZ786414:TAZ851947 TKV786414:TKV851947 TUR786414:TUR851947 UEN786414:UEN851947 UOJ786414:UOJ851947 UYF786414:UYF851947 VIB786414:VIB851947 VRX786414:VRX851947 WBT786414:WBT851947 WLP786414:WLP851947 WVL786414:WVL851947 IZ851950:IZ917483 SV851950:SV917483 ACR851950:ACR917483 AMN851950:AMN917483 AWJ851950:AWJ917483 BGF851950:BGF917483 BQB851950:BQB917483 BZX851950:BZX917483 CJT851950:CJT917483 CTP851950:CTP917483 DDL851950:DDL917483 DNH851950:DNH917483 DXD851950:DXD917483 EGZ851950:EGZ917483 EQV851950:EQV917483 FAR851950:FAR917483 FKN851950:FKN917483 FUJ851950:FUJ917483 GEF851950:GEF917483 GOB851950:GOB917483 GXX851950:GXX917483 HHT851950:HHT917483 HRP851950:HRP917483 IBL851950:IBL917483 ILH851950:ILH917483 IVD851950:IVD917483 JEZ851950:JEZ917483 JOV851950:JOV917483 JYR851950:JYR917483 KIN851950:KIN917483 KSJ851950:KSJ917483 LCF851950:LCF917483 LMB851950:LMB917483 LVX851950:LVX917483 MFT851950:MFT917483 MPP851950:MPP917483 MZL851950:MZL917483 NJH851950:NJH917483 NTD851950:NTD917483 OCZ851950:OCZ917483 OMV851950:OMV917483 OWR851950:OWR917483 PGN851950:PGN917483 PQJ851950:PQJ917483 QAF851950:QAF917483 QKB851950:QKB917483 QTX851950:QTX917483 RDT851950:RDT917483 RNP851950:RNP917483 RXL851950:RXL917483 SHH851950:SHH917483 SRD851950:SRD917483 TAZ851950:TAZ917483 TKV851950:TKV917483 TUR851950:TUR917483 UEN851950:UEN917483 UOJ851950:UOJ917483 UYF851950:UYF917483 VIB851950:VIB917483 VRX851950:VRX917483 WBT851950:WBT917483 WLP851950:WLP917483 WVL851950:WVL917483 IZ917486:IZ983019 SV917486:SV983019 ACR917486:ACR983019 AMN917486:AMN983019 AWJ917486:AWJ983019 BGF917486:BGF983019 BQB917486:BQB983019 BZX917486:BZX983019 CJT917486:CJT983019 CTP917486:CTP983019 DDL917486:DDL983019 DNH917486:DNH983019 DXD917486:DXD983019 EGZ917486:EGZ983019 EQV917486:EQV983019 FAR917486:FAR983019 FKN917486:FKN983019 FUJ917486:FUJ983019 GEF917486:GEF983019 GOB917486:GOB983019 GXX917486:GXX983019 HHT917486:HHT983019 HRP917486:HRP983019 IBL917486:IBL983019 ILH917486:ILH983019 IVD917486:IVD983019 JEZ917486:JEZ983019 JOV917486:JOV983019 JYR917486:JYR983019 KIN917486:KIN983019 KSJ917486:KSJ983019 LCF917486:LCF983019 LMB917486:LMB983019 LVX917486:LVX983019 MFT917486:MFT983019 MPP917486:MPP983019 MZL917486:MZL983019 NJH917486:NJH983019 NTD917486:NTD983019 OCZ917486:OCZ983019 OMV917486:OMV983019 OWR917486:OWR983019 PGN917486:PGN983019 PQJ917486:PQJ983019 QAF917486:QAF983019 QKB917486:QKB983019 QTX917486:QTX983019 RDT917486:RDT983019 RNP917486:RNP983019 RXL917486:RXL983019 SHH917486:SHH983019 SRD917486:SRD983019 TAZ917486:TAZ983019 TKV917486:TKV983019 TUR917486:TUR983019 UEN917486:UEN983019 UOJ917486:UOJ983019 UYF917486:UYF983019 VIB917486:VIB983019 VRX917486:VRX983019 WBT917486:WBT983019 WLP917486:WLP983019 WVL917486:WVL983019 WVL983022:WVL1048576 IZ983022:IZ1048576 SV983022:SV1048576 ACR983022:ACR1048576 AMN983022:AMN1048576 AWJ983022:AWJ1048576 BGF983022:BGF1048576 BQB983022:BQB1048576 BZX983022:BZX1048576 CJT983022:CJT1048576 CTP983022:CTP1048576 DDL983022:DDL1048576 DNH983022:DNH1048576 DXD983022:DXD1048576 EGZ983022:EGZ1048576 EQV983022:EQV1048576 FAR983022:FAR1048576 FKN983022:FKN1048576 FUJ983022:FUJ1048576 GEF983022:GEF1048576 GOB983022:GOB1048576 GXX983022:GXX1048576 HHT983022:HHT1048576 HRP983022:HRP1048576 IBL983022:IBL1048576 ILH983022:ILH1048576 IVD983022:IVD1048576 JEZ983022:JEZ1048576 JOV983022:JOV1048576 JYR983022:JYR1048576 KIN983022:KIN1048576 KSJ983022:KSJ1048576 LCF983022:LCF1048576 LMB983022:LMB1048576 LVX983022:LVX1048576 MFT983022:MFT1048576 MPP983022:MPP1048576 MZL983022:MZL1048576 NJH983022:NJH1048576 NTD983022:NTD1048576 OCZ983022:OCZ1048576 OMV983022:OMV1048576 OWR983022:OWR1048576 PGN983022:PGN1048576 PQJ983022:PQJ1048576 QAF983022:QAF1048576 QKB983022:QKB1048576 QTX983022:QTX1048576 RDT983022:RDT1048576 RNP983022:RNP1048576 RXL983022:RXL1048576 SHH983022:SHH1048576 SRD983022:SRD1048576 TAZ983022:TAZ1048576 TKV983022:TKV1048576 TUR983022:TUR1048576 UEN983022:UEN1048576 UOJ983022:UOJ1048576 UYF983022:UYF1048576 VIB983022:VIB1048576 VRX983022:VRX1048576 WBT983022:WBT1048576 WLP983022:WLP1048576 F7:G65515 F983022:G1048576 F917486:G983019 F851950:G917483 F786414:G851947 F720878:G786411 F655342:G720875 F589806:G655339 F524270:G589803 F458734:G524267 F393198:G458731 F327662:G393195 F262126:G327659 F196590:G262123 F131054:G196587 F65518:G131051 K983022:M1048576 K917486:M983019 K851950:M917483 K786414:M851947 K720878:M786411 K655342:M720875 K589806:M655339 K524270:M589803 K458734:M524267 K393198:M458731 K327662:M393195 K262126:M327659 K196590:M262123 K131054:M196587 K65518:M131051 K7:M65515 SV7:SV65515 ACR7:ACR65515 AMN7:AMN65515 AWJ7:AWJ65515 BGF7:BGF65515 BQB7:BQB65515 BZX7:BZX65515 CJT7:CJT65515 CTP7:CTP65515 DDL7:DDL65515 DNH7:DNH65515 DXD7:DXD65515 EGZ7:EGZ65515 EQV7:EQV65515 FAR7:FAR65515 FKN7:FKN65515 FUJ7:FUJ65515 GEF7:GEF65515 GOB7:GOB65515 GXX7:GXX65515 HHT7:HHT65515 HRP7:HRP65515 IBL7:IBL65515 ILH7:ILH65515 IVD7:IVD65515 JEZ7:JEZ65515 JOV7:JOV65515 JYR7:JYR65515 KIN7:KIN65515 KSJ7:KSJ65515 LCF7:LCF65515 LMB7:LMB65515 LVX7:LVX65515 MFT7:MFT65515 MPP7:MPP65515 MZL7:MZL65515 NJH7:NJH65515 NTD7:NTD65515 OCZ7:OCZ65515 OMV7:OMV65515 OWR7:OWR65515 PGN7:PGN65515 PQJ7:PQJ65515 QAF7:QAF65515 QKB7:QKB65515 QTX7:QTX65515 RDT7:RDT65515 RNP7:RNP65515 RXL7:RXL65515 SHH7:SHH65515 SRD7:SRD65515 TAZ7:TAZ65515 TKV7:TKV65515 TUR7:TUR65515 UEN7:UEN65515 UOJ7:UOJ65515 UYF7:UYF65515 VIB7:VIB65515 VRX7:VRX65515 WBT7:WBT65515 WLP7:WLP65515 WVL7:WVL65515 IZ7:IZ65515" xr:uid="{244575B6-9C29-4EEE-9099-DB20C24E7D79}">
      <formula1>300</formula1>
    </dataValidation>
    <dataValidation type="textLength" operator="lessThanOrEqual" allowBlank="1" showInputMessage="1" showErrorMessage="1" errorTitle="FactelExcel" error="Debe ingresar un valor correcto para el Codigo Principal" sqref="IY65518:IY131051 SU65518:SU131051 ACQ65518:ACQ131051 AMM65518:AMM131051 AWI65518:AWI131051 BGE65518:BGE131051 BQA65518:BQA131051 BZW65518:BZW131051 CJS65518:CJS131051 CTO65518:CTO131051 DDK65518:DDK131051 DNG65518:DNG131051 DXC65518:DXC131051 EGY65518:EGY131051 EQU65518:EQU131051 FAQ65518:FAQ131051 FKM65518:FKM131051 FUI65518:FUI131051 GEE65518:GEE131051 GOA65518:GOA131051 GXW65518:GXW131051 HHS65518:HHS131051 HRO65518:HRO131051 IBK65518:IBK131051 ILG65518:ILG131051 IVC65518:IVC131051 JEY65518:JEY131051 JOU65518:JOU131051 JYQ65518:JYQ131051 KIM65518:KIM131051 KSI65518:KSI131051 LCE65518:LCE131051 LMA65518:LMA131051 LVW65518:LVW131051 MFS65518:MFS131051 MPO65518:MPO131051 MZK65518:MZK131051 NJG65518:NJG131051 NTC65518:NTC131051 OCY65518:OCY131051 OMU65518:OMU131051 OWQ65518:OWQ131051 PGM65518:PGM131051 PQI65518:PQI131051 QAE65518:QAE131051 QKA65518:QKA131051 QTW65518:QTW131051 RDS65518:RDS131051 RNO65518:RNO131051 RXK65518:RXK131051 SHG65518:SHG131051 SRC65518:SRC131051 TAY65518:TAY131051 TKU65518:TKU131051 TUQ65518:TUQ131051 UEM65518:UEM131051 UOI65518:UOI131051 UYE65518:UYE131051 VIA65518:VIA131051 VRW65518:VRW131051 WBS65518:WBS131051 WLO65518:WLO131051 WVK65518:WVK131051 IY131054:IY196587 SU131054:SU196587 ACQ131054:ACQ196587 AMM131054:AMM196587 AWI131054:AWI196587 BGE131054:BGE196587 BQA131054:BQA196587 BZW131054:BZW196587 CJS131054:CJS196587 CTO131054:CTO196587 DDK131054:DDK196587 DNG131054:DNG196587 DXC131054:DXC196587 EGY131054:EGY196587 EQU131054:EQU196587 FAQ131054:FAQ196587 FKM131054:FKM196587 FUI131054:FUI196587 GEE131054:GEE196587 GOA131054:GOA196587 GXW131054:GXW196587 HHS131054:HHS196587 HRO131054:HRO196587 IBK131054:IBK196587 ILG131054:ILG196587 IVC131054:IVC196587 JEY131054:JEY196587 JOU131054:JOU196587 JYQ131054:JYQ196587 KIM131054:KIM196587 KSI131054:KSI196587 LCE131054:LCE196587 LMA131054:LMA196587 LVW131054:LVW196587 MFS131054:MFS196587 MPO131054:MPO196587 MZK131054:MZK196587 NJG131054:NJG196587 NTC131054:NTC196587 OCY131054:OCY196587 OMU131054:OMU196587 OWQ131054:OWQ196587 PGM131054:PGM196587 PQI131054:PQI196587 QAE131054:QAE196587 QKA131054:QKA196587 QTW131054:QTW196587 RDS131054:RDS196587 RNO131054:RNO196587 RXK131054:RXK196587 SHG131054:SHG196587 SRC131054:SRC196587 TAY131054:TAY196587 TKU131054:TKU196587 TUQ131054:TUQ196587 UEM131054:UEM196587 UOI131054:UOI196587 UYE131054:UYE196587 VIA131054:VIA196587 VRW131054:VRW196587 WBS131054:WBS196587 WLO131054:WLO196587 WVK131054:WVK196587 IY196590:IY262123 SU196590:SU262123 ACQ196590:ACQ262123 AMM196590:AMM262123 AWI196590:AWI262123 BGE196590:BGE262123 BQA196590:BQA262123 BZW196590:BZW262123 CJS196590:CJS262123 CTO196590:CTO262123 DDK196590:DDK262123 DNG196590:DNG262123 DXC196590:DXC262123 EGY196590:EGY262123 EQU196590:EQU262123 FAQ196590:FAQ262123 FKM196590:FKM262123 FUI196590:FUI262123 GEE196590:GEE262123 GOA196590:GOA262123 GXW196590:GXW262123 HHS196590:HHS262123 HRO196590:HRO262123 IBK196590:IBK262123 ILG196590:ILG262123 IVC196590:IVC262123 JEY196590:JEY262123 JOU196590:JOU262123 JYQ196590:JYQ262123 KIM196590:KIM262123 KSI196590:KSI262123 LCE196590:LCE262123 LMA196590:LMA262123 LVW196590:LVW262123 MFS196590:MFS262123 MPO196590:MPO262123 MZK196590:MZK262123 NJG196590:NJG262123 NTC196590:NTC262123 OCY196590:OCY262123 OMU196590:OMU262123 OWQ196590:OWQ262123 PGM196590:PGM262123 PQI196590:PQI262123 QAE196590:QAE262123 QKA196590:QKA262123 QTW196590:QTW262123 RDS196590:RDS262123 RNO196590:RNO262123 RXK196590:RXK262123 SHG196590:SHG262123 SRC196590:SRC262123 TAY196590:TAY262123 TKU196590:TKU262123 TUQ196590:TUQ262123 UEM196590:UEM262123 UOI196590:UOI262123 UYE196590:UYE262123 VIA196590:VIA262123 VRW196590:VRW262123 WBS196590:WBS262123 WLO196590:WLO262123 WVK196590:WVK262123 IY262126:IY327659 SU262126:SU327659 ACQ262126:ACQ327659 AMM262126:AMM327659 AWI262126:AWI327659 BGE262126:BGE327659 BQA262126:BQA327659 BZW262126:BZW327659 CJS262126:CJS327659 CTO262126:CTO327659 DDK262126:DDK327659 DNG262126:DNG327659 DXC262126:DXC327659 EGY262126:EGY327659 EQU262126:EQU327659 FAQ262126:FAQ327659 FKM262126:FKM327659 FUI262126:FUI327659 GEE262126:GEE327659 GOA262126:GOA327659 GXW262126:GXW327659 HHS262126:HHS327659 HRO262126:HRO327659 IBK262126:IBK327659 ILG262126:ILG327659 IVC262126:IVC327659 JEY262126:JEY327659 JOU262126:JOU327659 JYQ262126:JYQ327659 KIM262126:KIM327659 KSI262126:KSI327659 LCE262126:LCE327659 LMA262126:LMA327659 LVW262126:LVW327659 MFS262126:MFS327659 MPO262126:MPO327659 MZK262126:MZK327659 NJG262126:NJG327659 NTC262126:NTC327659 OCY262126:OCY327659 OMU262126:OMU327659 OWQ262126:OWQ327659 PGM262126:PGM327659 PQI262126:PQI327659 QAE262126:QAE327659 QKA262126:QKA327659 QTW262126:QTW327659 RDS262126:RDS327659 RNO262126:RNO327659 RXK262126:RXK327659 SHG262126:SHG327659 SRC262126:SRC327659 TAY262126:TAY327659 TKU262126:TKU327659 TUQ262126:TUQ327659 UEM262126:UEM327659 UOI262126:UOI327659 UYE262126:UYE327659 VIA262126:VIA327659 VRW262126:VRW327659 WBS262126:WBS327659 WLO262126:WLO327659 WVK262126:WVK327659 IY327662:IY393195 SU327662:SU393195 ACQ327662:ACQ393195 AMM327662:AMM393195 AWI327662:AWI393195 BGE327662:BGE393195 BQA327662:BQA393195 BZW327662:BZW393195 CJS327662:CJS393195 CTO327662:CTO393195 DDK327662:DDK393195 DNG327662:DNG393195 DXC327662:DXC393195 EGY327662:EGY393195 EQU327662:EQU393195 FAQ327662:FAQ393195 FKM327662:FKM393195 FUI327662:FUI393195 GEE327662:GEE393195 GOA327662:GOA393195 GXW327662:GXW393195 HHS327662:HHS393195 HRO327662:HRO393195 IBK327662:IBK393195 ILG327662:ILG393195 IVC327662:IVC393195 JEY327662:JEY393195 JOU327662:JOU393195 JYQ327662:JYQ393195 KIM327662:KIM393195 KSI327662:KSI393195 LCE327662:LCE393195 LMA327662:LMA393195 LVW327662:LVW393195 MFS327662:MFS393195 MPO327662:MPO393195 MZK327662:MZK393195 NJG327662:NJG393195 NTC327662:NTC393195 OCY327662:OCY393195 OMU327662:OMU393195 OWQ327662:OWQ393195 PGM327662:PGM393195 PQI327662:PQI393195 QAE327662:QAE393195 QKA327662:QKA393195 QTW327662:QTW393195 RDS327662:RDS393195 RNO327662:RNO393195 RXK327662:RXK393195 SHG327662:SHG393195 SRC327662:SRC393195 TAY327662:TAY393195 TKU327662:TKU393195 TUQ327662:TUQ393195 UEM327662:UEM393195 UOI327662:UOI393195 UYE327662:UYE393195 VIA327662:VIA393195 VRW327662:VRW393195 WBS327662:WBS393195 WLO327662:WLO393195 WVK327662:WVK393195 IY393198:IY458731 SU393198:SU458731 ACQ393198:ACQ458731 AMM393198:AMM458731 AWI393198:AWI458731 BGE393198:BGE458731 BQA393198:BQA458731 BZW393198:BZW458731 CJS393198:CJS458731 CTO393198:CTO458731 DDK393198:DDK458731 DNG393198:DNG458731 DXC393198:DXC458731 EGY393198:EGY458731 EQU393198:EQU458731 FAQ393198:FAQ458731 FKM393198:FKM458731 FUI393198:FUI458731 GEE393198:GEE458731 GOA393198:GOA458731 GXW393198:GXW458731 HHS393198:HHS458731 HRO393198:HRO458731 IBK393198:IBK458731 ILG393198:ILG458731 IVC393198:IVC458731 JEY393198:JEY458731 JOU393198:JOU458731 JYQ393198:JYQ458731 KIM393198:KIM458731 KSI393198:KSI458731 LCE393198:LCE458731 LMA393198:LMA458731 LVW393198:LVW458731 MFS393198:MFS458731 MPO393198:MPO458731 MZK393198:MZK458731 NJG393198:NJG458731 NTC393198:NTC458731 OCY393198:OCY458731 OMU393198:OMU458731 OWQ393198:OWQ458731 PGM393198:PGM458731 PQI393198:PQI458731 QAE393198:QAE458731 QKA393198:QKA458731 QTW393198:QTW458731 RDS393198:RDS458731 RNO393198:RNO458731 RXK393198:RXK458731 SHG393198:SHG458731 SRC393198:SRC458731 TAY393198:TAY458731 TKU393198:TKU458731 TUQ393198:TUQ458731 UEM393198:UEM458731 UOI393198:UOI458731 UYE393198:UYE458731 VIA393198:VIA458731 VRW393198:VRW458731 WBS393198:WBS458731 WLO393198:WLO458731 WVK393198:WVK458731 IY458734:IY524267 SU458734:SU524267 ACQ458734:ACQ524267 AMM458734:AMM524267 AWI458734:AWI524267 BGE458734:BGE524267 BQA458734:BQA524267 BZW458734:BZW524267 CJS458734:CJS524267 CTO458734:CTO524267 DDK458734:DDK524267 DNG458734:DNG524267 DXC458734:DXC524267 EGY458734:EGY524267 EQU458734:EQU524267 FAQ458734:FAQ524267 FKM458734:FKM524267 FUI458734:FUI524267 GEE458734:GEE524267 GOA458734:GOA524267 GXW458734:GXW524267 HHS458734:HHS524267 HRO458734:HRO524267 IBK458734:IBK524267 ILG458734:ILG524267 IVC458734:IVC524267 JEY458734:JEY524267 JOU458734:JOU524267 JYQ458734:JYQ524267 KIM458734:KIM524267 KSI458734:KSI524267 LCE458734:LCE524267 LMA458734:LMA524267 LVW458734:LVW524267 MFS458734:MFS524267 MPO458734:MPO524267 MZK458734:MZK524267 NJG458734:NJG524267 NTC458734:NTC524267 OCY458734:OCY524267 OMU458734:OMU524267 OWQ458734:OWQ524267 PGM458734:PGM524267 PQI458734:PQI524267 QAE458734:QAE524267 QKA458734:QKA524267 QTW458734:QTW524267 RDS458734:RDS524267 RNO458734:RNO524267 RXK458734:RXK524267 SHG458734:SHG524267 SRC458734:SRC524267 TAY458734:TAY524267 TKU458734:TKU524267 TUQ458734:TUQ524267 UEM458734:UEM524267 UOI458734:UOI524267 UYE458734:UYE524267 VIA458734:VIA524267 VRW458734:VRW524267 WBS458734:WBS524267 WLO458734:WLO524267 WVK458734:WVK524267 IY524270:IY589803 SU524270:SU589803 ACQ524270:ACQ589803 AMM524270:AMM589803 AWI524270:AWI589803 BGE524270:BGE589803 BQA524270:BQA589803 BZW524270:BZW589803 CJS524270:CJS589803 CTO524270:CTO589803 DDK524270:DDK589803 DNG524270:DNG589803 DXC524270:DXC589803 EGY524270:EGY589803 EQU524270:EQU589803 FAQ524270:FAQ589803 FKM524270:FKM589803 FUI524270:FUI589803 GEE524270:GEE589803 GOA524270:GOA589803 GXW524270:GXW589803 HHS524270:HHS589803 HRO524270:HRO589803 IBK524270:IBK589803 ILG524270:ILG589803 IVC524270:IVC589803 JEY524270:JEY589803 JOU524270:JOU589803 JYQ524270:JYQ589803 KIM524270:KIM589803 KSI524270:KSI589803 LCE524270:LCE589803 LMA524270:LMA589803 LVW524270:LVW589803 MFS524270:MFS589803 MPO524270:MPO589803 MZK524270:MZK589803 NJG524270:NJG589803 NTC524270:NTC589803 OCY524270:OCY589803 OMU524270:OMU589803 OWQ524270:OWQ589803 PGM524270:PGM589803 PQI524270:PQI589803 QAE524270:QAE589803 QKA524270:QKA589803 QTW524270:QTW589803 RDS524270:RDS589803 RNO524270:RNO589803 RXK524270:RXK589803 SHG524270:SHG589803 SRC524270:SRC589803 TAY524270:TAY589803 TKU524270:TKU589803 TUQ524270:TUQ589803 UEM524270:UEM589803 UOI524270:UOI589803 UYE524270:UYE589803 VIA524270:VIA589803 VRW524270:VRW589803 WBS524270:WBS589803 WLO524270:WLO589803 WVK524270:WVK589803 IY589806:IY655339 SU589806:SU655339 ACQ589806:ACQ655339 AMM589806:AMM655339 AWI589806:AWI655339 BGE589806:BGE655339 BQA589806:BQA655339 BZW589806:BZW655339 CJS589806:CJS655339 CTO589806:CTO655339 DDK589806:DDK655339 DNG589806:DNG655339 DXC589806:DXC655339 EGY589806:EGY655339 EQU589806:EQU655339 FAQ589806:FAQ655339 FKM589806:FKM655339 FUI589806:FUI655339 GEE589806:GEE655339 GOA589806:GOA655339 GXW589806:GXW655339 HHS589806:HHS655339 HRO589806:HRO655339 IBK589806:IBK655339 ILG589806:ILG655339 IVC589806:IVC655339 JEY589806:JEY655339 JOU589806:JOU655339 JYQ589806:JYQ655339 KIM589806:KIM655339 KSI589806:KSI655339 LCE589806:LCE655339 LMA589806:LMA655339 LVW589806:LVW655339 MFS589806:MFS655339 MPO589806:MPO655339 MZK589806:MZK655339 NJG589806:NJG655339 NTC589806:NTC655339 OCY589806:OCY655339 OMU589806:OMU655339 OWQ589806:OWQ655339 PGM589806:PGM655339 PQI589806:PQI655339 QAE589806:QAE655339 QKA589806:QKA655339 QTW589806:QTW655339 RDS589806:RDS655339 RNO589806:RNO655339 RXK589806:RXK655339 SHG589806:SHG655339 SRC589806:SRC655339 TAY589806:TAY655339 TKU589806:TKU655339 TUQ589806:TUQ655339 UEM589806:UEM655339 UOI589806:UOI655339 UYE589806:UYE655339 VIA589806:VIA655339 VRW589806:VRW655339 WBS589806:WBS655339 WLO589806:WLO655339 WVK589806:WVK655339 IY655342:IY720875 SU655342:SU720875 ACQ655342:ACQ720875 AMM655342:AMM720875 AWI655342:AWI720875 BGE655342:BGE720875 BQA655342:BQA720875 BZW655342:BZW720875 CJS655342:CJS720875 CTO655342:CTO720875 DDK655342:DDK720875 DNG655342:DNG720875 DXC655342:DXC720875 EGY655342:EGY720875 EQU655342:EQU720875 FAQ655342:FAQ720875 FKM655342:FKM720875 FUI655342:FUI720875 GEE655342:GEE720875 GOA655342:GOA720875 GXW655342:GXW720875 HHS655342:HHS720875 HRO655342:HRO720875 IBK655342:IBK720875 ILG655342:ILG720875 IVC655342:IVC720875 JEY655342:JEY720875 JOU655342:JOU720875 JYQ655342:JYQ720875 KIM655342:KIM720875 KSI655342:KSI720875 LCE655342:LCE720875 LMA655342:LMA720875 LVW655342:LVW720875 MFS655342:MFS720875 MPO655342:MPO720875 MZK655342:MZK720875 NJG655342:NJG720875 NTC655342:NTC720875 OCY655342:OCY720875 OMU655342:OMU720875 OWQ655342:OWQ720875 PGM655342:PGM720875 PQI655342:PQI720875 QAE655342:QAE720875 QKA655342:QKA720875 QTW655342:QTW720875 RDS655342:RDS720875 RNO655342:RNO720875 RXK655342:RXK720875 SHG655342:SHG720875 SRC655342:SRC720875 TAY655342:TAY720875 TKU655342:TKU720875 TUQ655342:TUQ720875 UEM655342:UEM720875 UOI655342:UOI720875 UYE655342:UYE720875 VIA655342:VIA720875 VRW655342:VRW720875 WBS655342:WBS720875 WLO655342:WLO720875 WVK655342:WVK720875 IY720878:IY786411 SU720878:SU786411 ACQ720878:ACQ786411 AMM720878:AMM786411 AWI720878:AWI786411 BGE720878:BGE786411 BQA720878:BQA786411 BZW720878:BZW786411 CJS720878:CJS786411 CTO720878:CTO786411 DDK720878:DDK786411 DNG720878:DNG786411 DXC720878:DXC786411 EGY720878:EGY786411 EQU720878:EQU786411 FAQ720878:FAQ786411 FKM720878:FKM786411 FUI720878:FUI786411 GEE720878:GEE786411 GOA720878:GOA786411 GXW720878:GXW786411 HHS720878:HHS786411 HRO720878:HRO786411 IBK720878:IBK786411 ILG720878:ILG786411 IVC720878:IVC786411 JEY720878:JEY786411 JOU720878:JOU786411 JYQ720878:JYQ786411 KIM720878:KIM786411 KSI720878:KSI786411 LCE720878:LCE786411 LMA720878:LMA786411 LVW720878:LVW786411 MFS720878:MFS786411 MPO720878:MPO786411 MZK720878:MZK786411 NJG720878:NJG786411 NTC720878:NTC786411 OCY720878:OCY786411 OMU720878:OMU786411 OWQ720878:OWQ786411 PGM720878:PGM786411 PQI720878:PQI786411 QAE720878:QAE786411 QKA720878:QKA786411 QTW720878:QTW786411 RDS720878:RDS786411 RNO720878:RNO786411 RXK720878:RXK786411 SHG720878:SHG786411 SRC720878:SRC786411 TAY720878:TAY786411 TKU720878:TKU786411 TUQ720878:TUQ786411 UEM720878:UEM786411 UOI720878:UOI786411 UYE720878:UYE786411 VIA720878:VIA786411 VRW720878:VRW786411 WBS720878:WBS786411 WLO720878:WLO786411 WVK720878:WVK786411 IY786414:IY851947 SU786414:SU851947 ACQ786414:ACQ851947 AMM786414:AMM851947 AWI786414:AWI851947 BGE786414:BGE851947 BQA786414:BQA851947 BZW786414:BZW851947 CJS786414:CJS851947 CTO786414:CTO851947 DDK786414:DDK851947 DNG786414:DNG851947 DXC786414:DXC851947 EGY786414:EGY851947 EQU786414:EQU851947 FAQ786414:FAQ851947 FKM786414:FKM851947 FUI786414:FUI851947 GEE786414:GEE851947 GOA786414:GOA851947 GXW786414:GXW851947 HHS786414:HHS851947 HRO786414:HRO851947 IBK786414:IBK851947 ILG786414:ILG851947 IVC786414:IVC851947 JEY786414:JEY851947 JOU786414:JOU851947 JYQ786414:JYQ851947 KIM786414:KIM851947 KSI786414:KSI851947 LCE786414:LCE851947 LMA786414:LMA851947 LVW786414:LVW851947 MFS786414:MFS851947 MPO786414:MPO851947 MZK786414:MZK851947 NJG786414:NJG851947 NTC786414:NTC851947 OCY786414:OCY851947 OMU786414:OMU851947 OWQ786414:OWQ851947 PGM786414:PGM851947 PQI786414:PQI851947 QAE786414:QAE851947 QKA786414:QKA851947 QTW786414:QTW851947 RDS786414:RDS851947 RNO786414:RNO851947 RXK786414:RXK851947 SHG786414:SHG851947 SRC786414:SRC851947 TAY786414:TAY851947 TKU786414:TKU851947 TUQ786414:TUQ851947 UEM786414:UEM851947 UOI786414:UOI851947 UYE786414:UYE851947 VIA786414:VIA851947 VRW786414:VRW851947 WBS786414:WBS851947 WLO786414:WLO851947 WVK786414:WVK851947 IY851950:IY917483 SU851950:SU917483 ACQ851950:ACQ917483 AMM851950:AMM917483 AWI851950:AWI917483 BGE851950:BGE917483 BQA851950:BQA917483 BZW851950:BZW917483 CJS851950:CJS917483 CTO851950:CTO917483 DDK851950:DDK917483 DNG851950:DNG917483 DXC851950:DXC917483 EGY851950:EGY917483 EQU851950:EQU917483 FAQ851950:FAQ917483 FKM851950:FKM917483 FUI851950:FUI917483 GEE851950:GEE917483 GOA851950:GOA917483 GXW851950:GXW917483 HHS851950:HHS917483 HRO851950:HRO917483 IBK851950:IBK917483 ILG851950:ILG917483 IVC851950:IVC917483 JEY851950:JEY917483 JOU851950:JOU917483 JYQ851950:JYQ917483 KIM851950:KIM917483 KSI851950:KSI917483 LCE851950:LCE917483 LMA851950:LMA917483 LVW851950:LVW917483 MFS851950:MFS917483 MPO851950:MPO917483 MZK851950:MZK917483 NJG851950:NJG917483 NTC851950:NTC917483 OCY851950:OCY917483 OMU851950:OMU917483 OWQ851950:OWQ917483 PGM851950:PGM917483 PQI851950:PQI917483 QAE851950:QAE917483 QKA851950:QKA917483 QTW851950:QTW917483 RDS851950:RDS917483 RNO851950:RNO917483 RXK851950:RXK917483 SHG851950:SHG917483 SRC851950:SRC917483 TAY851950:TAY917483 TKU851950:TKU917483 TUQ851950:TUQ917483 UEM851950:UEM917483 UOI851950:UOI917483 UYE851950:UYE917483 VIA851950:VIA917483 VRW851950:VRW917483 WBS851950:WBS917483 WLO851950:WLO917483 WVK851950:WVK917483 IY917486:IY983019 SU917486:SU983019 ACQ917486:ACQ983019 AMM917486:AMM983019 AWI917486:AWI983019 BGE917486:BGE983019 BQA917486:BQA983019 BZW917486:BZW983019 CJS917486:CJS983019 CTO917486:CTO983019 DDK917486:DDK983019 DNG917486:DNG983019 DXC917486:DXC983019 EGY917486:EGY983019 EQU917486:EQU983019 FAQ917486:FAQ983019 FKM917486:FKM983019 FUI917486:FUI983019 GEE917486:GEE983019 GOA917486:GOA983019 GXW917486:GXW983019 HHS917486:HHS983019 HRO917486:HRO983019 IBK917486:IBK983019 ILG917486:ILG983019 IVC917486:IVC983019 JEY917486:JEY983019 JOU917486:JOU983019 JYQ917486:JYQ983019 KIM917486:KIM983019 KSI917486:KSI983019 LCE917486:LCE983019 LMA917486:LMA983019 LVW917486:LVW983019 MFS917486:MFS983019 MPO917486:MPO983019 MZK917486:MZK983019 NJG917486:NJG983019 NTC917486:NTC983019 OCY917486:OCY983019 OMU917486:OMU983019 OWQ917486:OWQ983019 PGM917486:PGM983019 PQI917486:PQI983019 QAE917486:QAE983019 QKA917486:QKA983019 QTW917486:QTW983019 RDS917486:RDS983019 RNO917486:RNO983019 RXK917486:RXK983019 SHG917486:SHG983019 SRC917486:SRC983019 TAY917486:TAY983019 TKU917486:TKU983019 TUQ917486:TUQ983019 UEM917486:UEM983019 UOI917486:UOI983019 UYE917486:UYE983019 VIA917486:VIA983019 VRW917486:VRW983019 WBS917486:WBS983019 WLO917486:WLO983019 WVK917486:WVK983019 WVK983022:WVK1048576 IY983022:IY1048576 SU983022:SU1048576 ACQ983022:ACQ1048576 AMM983022:AMM1048576 AWI983022:AWI1048576 BGE983022:BGE1048576 BQA983022:BQA1048576 BZW983022:BZW1048576 CJS983022:CJS1048576 CTO983022:CTO1048576 DDK983022:DDK1048576 DNG983022:DNG1048576 DXC983022:DXC1048576 EGY983022:EGY1048576 EQU983022:EQU1048576 FAQ983022:FAQ1048576 FKM983022:FKM1048576 FUI983022:FUI1048576 GEE983022:GEE1048576 GOA983022:GOA1048576 GXW983022:GXW1048576 HHS983022:HHS1048576 HRO983022:HRO1048576 IBK983022:IBK1048576 ILG983022:ILG1048576 IVC983022:IVC1048576 JEY983022:JEY1048576 JOU983022:JOU1048576 JYQ983022:JYQ1048576 KIM983022:KIM1048576 KSI983022:KSI1048576 LCE983022:LCE1048576 LMA983022:LMA1048576 LVW983022:LVW1048576 MFS983022:MFS1048576 MPO983022:MPO1048576 MZK983022:MZK1048576 NJG983022:NJG1048576 NTC983022:NTC1048576 OCY983022:OCY1048576 OMU983022:OMU1048576 OWQ983022:OWQ1048576 PGM983022:PGM1048576 PQI983022:PQI1048576 QAE983022:QAE1048576 QKA983022:QKA1048576 QTW983022:QTW1048576 RDS983022:RDS1048576 RNO983022:RNO1048576 RXK983022:RXK1048576 SHG983022:SHG1048576 SRC983022:SRC1048576 TAY983022:TAY1048576 TKU983022:TKU1048576 TUQ983022:TUQ1048576 UEM983022:UEM1048576 UOI983022:UOI1048576 UYE983022:UYE1048576 VIA983022:VIA1048576 VRW983022:VRW1048576 WBS983022:WBS1048576 WLO983022:WLO1048576 A65518:F131051 A131054:F196587 A196590:F262123 A262126:F327659 A327662:F393195 A393198:F458731 A458734:F524267 A524270:F589803 A589806:F655339 A655342:F720875 A720878:F786411 A786414:F851947 A851950:F917483 A917486:F983019 A983022:F1048576 A7:F65515 SU7:SU65515 ACQ7:ACQ65515 AMM7:AMM65515 AWI7:AWI65515 BGE7:BGE65515 BQA7:BQA65515 BZW7:BZW65515 CJS7:CJS65515 CTO7:CTO65515 DDK7:DDK65515 DNG7:DNG65515 DXC7:DXC65515 EGY7:EGY65515 EQU7:EQU65515 FAQ7:FAQ65515 FKM7:FKM65515 FUI7:FUI65515 GEE7:GEE65515 GOA7:GOA65515 GXW7:GXW65515 HHS7:HHS65515 HRO7:HRO65515 IBK7:IBK65515 ILG7:ILG65515 IVC7:IVC65515 JEY7:JEY65515 JOU7:JOU65515 JYQ7:JYQ65515 KIM7:KIM65515 KSI7:KSI65515 LCE7:LCE65515 LMA7:LMA65515 LVW7:LVW65515 MFS7:MFS65515 MPO7:MPO65515 MZK7:MZK65515 NJG7:NJG65515 NTC7:NTC65515 OCY7:OCY65515 OMU7:OMU65515 OWQ7:OWQ65515 PGM7:PGM65515 PQI7:PQI65515 QAE7:QAE65515 QKA7:QKA65515 QTW7:QTW65515 RDS7:RDS65515 RNO7:RNO65515 RXK7:RXK65515 SHG7:SHG65515 SRC7:SRC65515 TAY7:TAY65515 TKU7:TKU65515 TUQ7:TUQ65515 UEM7:UEM65515 UOI7:UOI65515 UYE7:UYE65515 VIA7:VIA65515 VRW7:VRW65515 WBS7:WBS65515 WLO7:WLO65515 WVK7:WVK65515 IY7:IY65515" xr:uid="{696D9B84-96EC-4CAC-9E71-D96D4EAEE0AA}">
      <formula1>25</formula1>
    </dataValidation>
    <dataValidation type="list" allowBlank="1" showInputMessage="1" showErrorMessage="1" sqref="WVN983022:WVN983032 JB65518:JB65528 SX65518:SX65528 ACT65518:ACT65528 AMP65518:AMP65528 AWL65518:AWL65528 BGH65518:BGH65528 BQD65518:BQD65528 BZZ65518:BZZ65528 CJV65518:CJV65528 CTR65518:CTR65528 DDN65518:DDN65528 DNJ65518:DNJ65528 DXF65518:DXF65528 EHB65518:EHB65528 EQX65518:EQX65528 FAT65518:FAT65528 FKP65518:FKP65528 FUL65518:FUL65528 GEH65518:GEH65528 GOD65518:GOD65528 GXZ65518:GXZ65528 HHV65518:HHV65528 HRR65518:HRR65528 IBN65518:IBN65528 ILJ65518:ILJ65528 IVF65518:IVF65528 JFB65518:JFB65528 JOX65518:JOX65528 JYT65518:JYT65528 KIP65518:KIP65528 KSL65518:KSL65528 LCH65518:LCH65528 LMD65518:LMD65528 LVZ65518:LVZ65528 MFV65518:MFV65528 MPR65518:MPR65528 MZN65518:MZN65528 NJJ65518:NJJ65528 NTF65518:NTF65528 ODB65518:ODB65528 OMX65518:OMX65528 OWT65518:OWT65528 PGP65518:PGP65528 PQL65518:PQL65528 QAH65518:QAH65528 QKD65518:QKD65528 QTZ65518:QTZ65528 RDV65518:RDV65528 RNR65518:RNR65528 RXN65518:RXN65528 SHJ65518:SHJ65528 SRF65518:SRF65528 TBB65518:TBB65528 TKX65518:TKX65528 TUT65518:TUT65528 UEP65518:UEP65528 UOL65518:UOL65528 UYH65518:UYH65528 VID65518:VID65528 VRZ65518:VRZ65528 WBV65518:WBV65528 WLR65518:WLR65528 WVN65518:WVN65528 JB131054:JB131064 SX131054:SX131064 ACT131054:ACT131064 AMP131054:AMP131064 AWL131054:AWL131064 BGH131054:BGH131064 BQD131054:BQD131064 BZZ131054:BZZ131064 CJV131054:CJV131064 CTR131054:CTR131064 DDN131054:DDN131064 DNJ131054:DNJ131064 DXF131054:DXF131064 EHB131054:EHB131064 EQX131054:EQX131064 FAT131054:FAT131064 FKP131054:FKP131064 FUL131054:FUL131064 GEH131054:GEH131064 GOD131054:GOD131064 GXZ131054:GXZ131064 HHV131054:HHV131064 HRR131054:HRR131064 IBN131054:IBN131064 ILJ131054:ILJ131064 IVF131054:IVF131064 JFB131054:JFB131064 JOX131054:JOX131064 JYT131054:JYT131064 KIP131054:KIP131064 KSL131054:KSL131064 LCH131054:LCH131064 LMD131054:LMD131064 LVZ131054:LVZ131064 MFV131054:MFV131064 MPR131054:MPR131064 MZN131054:MZN131064 NJJ131054:NJJ131064 NTF131054:NTF131064 ODB131054:ODB131064 OMX131054:OMX131064 OWT131054:OWT131064 PGP131054:PGP131064 PQL131054:PQL131064 QAH131054:QAH131064 QKD131054:QKD131064 QTZ131054:QTZ131064 RDV131054:RDV131064 RNR131054:RNR131064 RXN131054:RXN131064 SHJ131054:SHJ131064 SRF131054:SRF131064 TBB131054:TBB131064 TKX131054:TKX131064 TUT131054:TUT131064 UEP131054:UEP131064 UOL131054:UOL131064 UYH131054:UYH131064 VID131054:VID131064 VRZ131054:VRZ131064 WBV131054:WBV131064 WLR131054:WLR131064 WVN131054:WVN131064 JB196590:JB196600 SX196590:SX196600 ACT196590:ACT196600 AMP196590:AMP196600 AWL196590:AWL196600 BGH196590:BGH196600 BQD196590:BQD196600 BZZ196590:BZZ196600 CJV196590:CJV196600 CTR196590:CTR196600 DDN196590:DDN196600 DNJ196590:DNJ196600 DXF196590:DXF196600 EHB196590:EHB196600 EQX196590:EQX196600 FAT196590:FAT196600 FKP196590:FKP196600 FUL196590:FUL196600 GEH196590:GEH196600 GOD196590:GOD196600 GXZ196590:GXZ196600 HHV196590:HHV196600 HRR196590:HRR196600 IBN196590:IBN196600 ILJ196590:ILJ196600 IVF196590:IVF196600 JFB196590:JFB196600 JOX196590:JOX196600 JYT196590:JYT196600 KIP196590:KIP196600 KSL196590:KSL196600 LCH196590:LCH196600 LMD196590:LMD196600 LVZ196590:LVZ196600 MFV196590:MFV196600 MPR196590:MPR196600 MZN196590:MZN196600 NJJ196590:NJJ196600 NTF196590:NTF196600 ODB196590:ODB196600 OMX196590:OMX196600 OWT196590:OWT196600 PGP196590:PGP196600 PQL196590:PQL196600 QAH196590:QAH196600 QKD196590:QKD196600 QTZ196590:QTZ196600 RDV196590:RDV196600 RNR196590:RNR196600 RXN196590:RXN196600 SHJ196590:SHJ196600 SRF196590:SRF196600 TBB196590:TBB196600 TKX196590:TKX196600 TUT196590:TUT196600 UEP196590:UEP196600 UOL196590:UOL196600 UYH196590:UYH196600 VID196590:VID196600 VRZ196590:VRZ196600 WBV196590:WBV196600 WLR196590:WLR196600 WVN196590:WVN196600 JB262126:JB262136 SX262126:SX262136 ACT262126:ACT262136 AMP262126:AMP262136 AWL262126:AWL262136 BGH262126:BGH262136 BQD262126:BQD262136 BZZ262126:BZZ262136 CJV262126:CJV262136 CTR262126:CTR262136 DDN262126:DDN262136 DNJ262126:DNJ262136 DXF262126:DXF262136 EHB262126:EHB262136 EQX262126:EQX262136 FAT262126:FAT262136 FKP262126:FKP262136 FUL262126:FUL262136 GEH262126:GEH262136 GOD262126:GOD262136 GXZ262126:GXZ262136 HHV262126:HHV262136 HRR262126:HRR262136 IBN262126:IBN262136 ILJ262126:ILJ262136 IVF262126:IVF262136 JFB262126:JFB262136 JOX262126:JOX262136 JYT262126:JYT262136 KIP262126:KIP262136 KSL262126:KSL262136 LCH262126:LCH262136 LMD262126:LMD262136 LVZ262126:LVZ262136 MFV262126:MFV262136 MPR262126:MPR262136 MZN262126:MZN262136 NJJ262126:NJJ262136 NTF262126:NTF262136 ODB262126:ODB262136 OMX262126:OMX262136 OWT262126:OWT262136 PGP262126:PGP262136 PQL262126:PQL262136 QAH262126:QAH262136 QKD262126:QKD262136 QTZ262126:QTZ262136 RDV262126:RDV262136 RNR262126:RNR262136 RXN262126:RXN262136 SHJ262126:SHJ262136 SRF262126:SRF262136 TBB262126:TBB262136 TKX262126:TKX262136 TUT262126:TUT262136 UEP262126:UEP262136 UOL262126:UOL262136 UYH262126:UYH262136 VID262126:VID262136 VRZ262126:VRZ262136 WBV262126:WBV262136 WLR262126:WLR262136 WVN262126:WVN262136 JB327662:JB327672 SX327662:SX327672 ACT327662:ACT327672 AMP327662:AMP327672 AWL327662:AWL327672 BGH327662:BGH327672 BQD327662:BQD327672 BZZ327662:BZZ327672 CJV327662:CJV327672 CTR327662:CTR327672 DDN327662:DDN327672 DNJ327662:DNJ327672 DXF327662:DXF327672 EHB327662:EHB327672 EQX327662:EQX327672 FAT327662:FAT327672 FKP327662:FKP327672 FUL327662:FUL327672 GEH327662:GEH327672 GOD327662:GOD327672 GXZ327662:GXZ327672 HHV327662:HHV327672 HRR327662:HRR327672 IBN327662:IBN327672 ILJ327662:ILJ327672 IVF327662:IVF327672 JFB327662:JFB327672 JOX327662:JOX327672 JYT327662:JYT327672 KIP327662:KIP327672 KSL327662:KSL327672 LCH327662:LCH327672 LMD327662:LMD327672 LVZ327662:LVZ327672 MFV327662:MFV327672 MPR327662:MPR327672 MZN327662:MZN327672 NJJ327662:NJJ327672 NTF327662:NTF327672 ODB327662:ODB327672 OMX327662:OMX327672 OWT327662:OWT327672 PGP327662:PGP327672 PQL327662:PQL327672 QAH327662:QAH327672 QKD327662:QKD327672 QTZ327662:QTZ327672 RDV327662:RDV327672 RNR327662:RNR327672 RXN327662:RXN327672 SHJ327662:SHJ327672 SRF327662:SRF327672 TBB327662:TBB327672 TKX327662:TKX327672 TUT327662:TUT327672 UEP327662:UEP327672 UOL327662:UOL327672 UYH327662:UYH327672 VID327662:VID327672 VRZ327662:VRZ327672 WBV327662:WBV327672 WLR327662:WLR327672 WVN327662:WVN327672 JB393198:JB393208 SX393198:SX393208 ACT393198:ACT393208 AMP393198:AMP393208 AWL393198:AWL393208 BGH393198:BGH393208 BQD393198:BQD393208 BZZ393198:BZZ393208 CJV393198:CJV393208 CTR393198:CTR393208 DDN393198:DDN393208 DNJ393198:DNJ393208 DXF393198:DXF393208 EHB393198:EHB393208 EQX393198:EQX393208 FAT393198:FAT393208 FKP393198:FKP393208 FUL393198:FUL393208 GEH393198:GEH393208 GOD393198:GOD393208 GXZ393198:GXZ393208 HHV393198:HHV393208 HRR393198:HRR393208 IBN393198:IBN393208 ILJ393198:ILJ393208 IVF393198:IVF393208 JFB393198:JFB393208 JOX393198:JOX393208 JYT393198:JYT393208 KIP393198:KIP393208 KSL393198:KSL393208 LCH393198:LCH393208 LMD393198:LMD393208 LVZ393198:LVZ393208 MFV393198:MFV393208 MPR393198:MPR393208 MZN393198:MZN393208 NJJ393198:NJJ393208 NTF393198:NTF393208 ODB393198:ODB393208 OMX393198:OMX393208 OWT393198:OWT393208 PGP393198:PGP393208 PQL393198:PQL393208 QAH393198:QAH393208 QKD393198:QKD393208 QTZ393198:QTZ393208 RDV393198:RDV393208 RNR393198:RNR393208 RXN393198:RXN393208 SHJ393198:SHJ393208 SRF393198:SRF393208 TBB393198:TBB393208 TKX393198:TKX393208 TUT393198:TUT393208 UEP393198:UEP393208 UOL393198:UOL393208 UYH393198:UYH393208 VID393198:VID393208 VRZ393198:VRZ393208 WBV393198:WBV393208 WLR393198:WLR393208 WVN393198:WVN393208 JB458734:JB458744 SX458734:SX458744 ACT458734:ACT458744 AMP458734:AMP458744 AWL458734:AWL458744 BGH458734:BGH458744 BQD458734:BQD458744 BZZ458734:BZZ458744 CJV458734:CJV458744 CTR458734:CTR458744 DDN458734:DDN458744 DNJ458734:DNJ458744 DXF458734:DXF458744 EHB458734:EHB458744 EQX458734:EQX458744 FAT458734:FAT458744 FKP458734:FKP458744 FUL458734:FUL458744 GEH458734:GEH458744 GOD458734:GOD458744 GXZ458734:GXZ458744 HHV458734:HHV458744 HRR458734:HRR458744 IBN458734:IBN458744 ILJ458734:ILJ458744 IVF458734:IVF458744 JFB458734:JFB458744 JOX458734:JOX458744 JYT458734:JYT458744 KIP458734:KIP458744 KSL458734:KSL458744 LCH458734:LCH458744 LMD458734:LMD458744 LVZ458734:LVZ458744 MFV458734:MFV458744 MPR458734:MPR458744 MZN458734:MZN458744 NJJ458734:NJJ458744 NTF458734:NTF458744 ODB458734:ODB458744 OMX458734:OMX458744 OWT458734:OWT458744 PGP458734:PGP458744 PQL458734:PQL458744 QAH458734:QAH458744 QKD458734:QKD458744 QTZ458734:QTZ458744 RDV458734:RDV458744 RNR458734:RNR458744 RXN458734:RXN458744 SHJ458734:SHJ458744 SRF458734:SRF458744 TBB458734:TBB458744 TKX458734:TKX458744 TUT458734:TUT458744 UEP458734:UEP458744 UOL458734:UOL458744 UYH458734:UYH458744 VID458734:VID458744 VRZ458734:VRZ458744 WBV458734:WBV458744 WLR458734:WLR458744 WVN458734:WVN458744 JB524270:JB524280 SX524270:SX524280 ACT524270:ACT524280 AMP524270:AMP524280 AWL524270:AWL524280 BGH524270:BGH524280 BQD524270:BQD524280 BZZ524270:BZZ524280 CJV524270:CJV524280 CTR524270:CTR524280 DDN524270:DDN524280 DNJ524270:DNJ524280 DXF524270:DXF524280 EHB524270:EHB524280 EQX524270:EQX524280 FAT524270:FAT524280 FKP524270:FKP524280 FUL524270:FUL524280 GEH524270:GEH524280 GOD524270:GOD524280 GXZ524270:GXZ524280 HHV524270:HHV524280 HRR524270:HRR524280 IBN524270:IBN524280 ILJ524270:ILJ524280 IVF524270:IVF524280 JFB524270:JFB524280 JOX524270:JOX524280 JYT524270:JYT524280 KIP524270:KIP524280 KSL524270:KSL524280 LCH524270:LCH524280 LMD524270:LMD524280 LVZ524270:LVZ524280 MFV524270:MFV524280 MPR524270:MPR524280 MZN524270:MZN524280 NJJ524270:NJJ524280 NTF524270:NTF524280 ODB524270:ODB524280 OMX524270:OMX524280 OWT524270:OWT524280 PGP524270:PGP524280 PQL524270:PQL524280 QAH524270:QAH524280 QKD524270:QKD524280 QTZ524270:QTZ524280 RDV524270:RDV524280 RNR524270:RNR524280 RXN524270:RXN524280 SHJ524270:SHJ524280 SRF524270:SRF524280 TBB524270:TBB524280 TKX524270:TKX524280 TUT524270:TUT524280 UEP524270:UEP524280 UOL524270:UOL524280 UYH524270:UYH524280 VID524270:VID524280 VRZ524270:VRZ524280 WBV524270:WBV524280 WLR524270:WLR524280 WVN524270:WVN524280 JB589806:JB589816 SX589806:SX589816 ACT589806:ACT589816 AMP589806:AMP589816 AWL589806:AWL589816 BGH589806:BGH589816 BQD589806:BQD589816 BZZ589806:BZZ589816 CJV589806:CJV589816 CTR589806:CTR589816 DDN589806:DDN589816 DNJ589806:DNJ589816 DXF589806:DXF589816 EHB589806:EHB589816 EQX589806:EQX589816 FAT589806:FAT589816 FKP589806:FKP589816 FUL589806:FUL589816 GEH589806:GEH589816 GOD589806:GOD589816 GXZ589806:GXZ589816 HHV589806:HHV589816 HRR589806:HRR589816 IBN589806:IBN589816 ILJ589806:ILJ589816 IVF589806:IVF589816 JFB589806:JFB589816 JOX589806:JOX589816 JYT589806:JYT589816 KIP589806:KIP589816 KSL589806:KSL589816 LCH589806:LCH589816 LMD589806:LMD589816 LVZ589806:LVZ589816 MFV589806:MFV589816 MPR589806:MPR589816 MZN589806:MZN589816 NJJ589806:NJJ589816 NTF589806:NTF589816 ODB589806:ODB589816 OMX589806:OMX589816 OWT589806:OWT589816 PGP589806:PGP589816 PQL589806:PQL589816 QAH589806:QAH589816 QKD589806:QKD589816 QTZ589806:QTZ589816 RDV589806:RDV589816 RNR589806:RNR589816 RXN589806:RXN589816 SHJ589806:SHJ589816 SRF589806:SRF589816 TBB589806:TBB589816 TKX589806:TKX589816 TUT589806:TUT589816 UEP589806:UEP589816 UOL589806:UOL589816 UYH589806:UYH589816 VID589806:VID589816 VRZ589806:VRZ589816 WBV589806:WBV589816 WLR589806:WLR589816 WVN589806:WVN589816 JB655342:JB655352 SX655342:SX655352 ACT655342:ACT655352 AMP655342:AMP655352 AWL655342:AWL655352 BGH655342:BGH655352 BQD655342:BQD655352 BZZ655342:BZZ655352 CJV655342:CJV655352 CTR655342:CTR655352 DDN655342:DDN655352 DNJ655342:DNJ655352 DXF655342:DXF655352 EHB655342:EHB655352 EQX655342:EQX655352 FAT655342:FAT655352 FKP655342:FKP655352 FUL655342:FUL655352 GEH655342:GEH655352 GOD655342:GOD655352 GXZ655342:GXZ655352 HHV655342:HHV655352 HRR655342:HRR655352 IBN655342:IBN655352 ILJ655342:ILJ655352 IVF655342:IVF655352 JFB655342:JFB655352 JOX655342:JOX655352 JYT655342:JYT655352 KIP655342:KIP655352 KSL655342:KSL655352 LCH655342:LCH655352 LMD655342:LMD655352 LVZ655342:LVZ655352 MFV655342:MFV655352 MPR655342:MPR655352 MZN655342:MZN655352 NJJ655342:NJJ655352 NTF655342:NTF655352 ODB655342:ODB655352 OMX655342:OMX655352 OWT655342:OWT655352 PGP655342:PGP655352 PQL655342:PQL655352 QAH655342:QAH655352 QKD655342:QKD655352 QTZ655342:QTZ655352 RDV655342:RDV655352 RNR655342:RNR655352 RXN655342:RXN655352 SHJ655342:SHJ655352 SRF655342:SRF655352 TBB655342:TBB655352 TKX655342:TKX655352 TUT655342:TUT655352 UEP655342:UEP655352 UOL655342:UOL655352 UYH655342:UYH655352 VID655342:VID655352 VRZ655342:VRZ655352 WBV655342:WBV655352 WLR655342:WLR655352 WVN655342:WVN655352 JB720878:JB720888 SX720878:SX720888 ACT720878:ACT720888 AMP720878:AMP720888 AWL720878:AWL720888 BGH720878:BGH720888 BQD720878:BQD720888 BZZ720878:BZZ720888 CJV720878:CJV720888 CTR720878:CTR720888 DDN720878:DDN720888 DNJ720878:DNJ720888 DXF720878:DXF720888 EHB720878:EHB720888 EQX720878:EQX720888 FAT720878:FAT720888 FKP720878:FKP720888 FUL720878:FUL720888 GEH720878:GEH720888 GOD720878:GOD720888 GXZ720878:GXZ720888 HHV720878:HHV720888 HRR720878:HRR720888 IBN720878:IBN720888 ILJ720878:ILJ720888 IVF720878:IVF720888 JFB720878:JFB720888 JOX720878:JOX720888 JYT720878:JYT720888 KIP720878:KIP720888 KSL720878:KSL720888 LCH720878:LCH720888 LMD720878:LMD720888 LVZ720878:LVZ720888 MFV720878:MFV720888 MPR720878:MPR720888 MZN720878:MZN720888 NJJ720878:NJJ720888 NTF720878:NTF720888 ODB720878:ODB720888 OMX720878:OMX720888 OWT720878:OWT720888 PGP720878:PGP720888 PQL720878:PQL720888 QAH720878:QAH720888 QKD720878:QKD720888 QTZ720878:QTZ720888 RDV720878:RDV720888 RNR720878:RNR720888 RXN720878:RXN720888 SHJ720878:SHJ720888 SRF720878:SRF720888 TBB720878:TBB720888 TKX720878:TKX720888 TUT720878:TUT720888 UEP720878:UEP720888 UOL720878:UOL720888 UYH720878:UYH720888 VID720878:VID720888 VRZ720878:VRZ720888 WBV720878:WBV720888 WLR720878:WLR720888 WVN720878:WVN720888 JB786414:JB786424 SX786414:SX786424 ACT786414:ACT786424 AMP786414:AMP786424 AWL786414:AWL786424 BGH786414:BGH786424 BQD786414:BQD786424 BZZ786414:BZZ786424 CJV786414:CJV786424 CTR786414:CTR786424 DDN786414:DDN786424 DNJ786414:DNJ786424 DXF786414:DXF786424 EHB786414:EHB786424 EQX786414:EQX786424 FAT786414:FAT786424 FKP786414:FKP786424 FUL786414:FUL786424 GEH786414:GEH786424 GOD786414:GOD786424 GXZ786414:GXZ786424 HHV786414:HHV786424 HRR786414:HRR786424 IBN786414:IBN786424 ILJ786414:ILJ786424 IVF786414:IVF786424 JFB786414:JFB786424 JOX786414:JOX786424 JYT786414:JYT786424 KIP786414:KIP786424 KSL786414:KSL786424 LCH786414:LCH786424 LMD786414:LMD786424 LVZ786414:LVZ786424 MFV786414:MFV786424 MPR786414:MPR786424 MZN786414:MZN786424 NJJ786414:NJJ786424 NTF786414:NTF786424 ODB786414:ODB786424 OMX786414:OMX786424 OWT786414:OWT786424 PGP786414:PGP786424 PQL786414:PQL786424 QAH786414:QAH786424 QKD786414:QKD786424 QTZ786414:QTZ786424 RDV786414:RDV786424 RNR786414:RNR786424 RXN786414:RXN786424 SHJ786414:SHJ786424 SRF786414:SRF786424 TBB786414:TBB786424 TKX786414:TKX786424 TUT786414:TUT786424 UEP786414:UEP786424 UOL786414:UOL786424 UYH786414:UYH786424 VID786414:VID786424 VRZ786414:VRZ786424 WBV786414:WBV786424 WLR786414:WLR786424 WVN786414:WVN786424 JB851950:JB851960 SX851950:SX851960 ACT851950:ACT851960 AMP851950:AMP851960 AWL851950:AWL851960 BGH851950:BGH851960 BQD851950:BQD851960 BZZ851950:BZZ851960 CJV851950:CJV851960 CTR851950:CTR851960 DDN851950:DDN851960 DNJ851950:DNJ851960 DXF851950:DXF851960 EHB851950:EHB851960 EQX851950:EQX851960 FAT851950:FAT851960 FKP851950:FKP851960 FUL851950:FUL851960 GEH851950:GEH851960 GOD851950:GOD851960 GXZ851950:GXZ851960 HHV851950:HHV851960 HRR851950:HRR851960 IBN851950:IBN851960 ILJ851950:ILJ851960 IVF851950:IVF851960 JFB851950:JFB851960 JOX851950:JOX851960 JYT851950:JYT851960 KIP851950:KIP851960 KSL851950:KSL851960 LCH851950:LCH851960 LMD851950:LMD851960 LVZ851950:LVZ851960 MFV851950:MFV851960 MPR851950:MPR851960 MZN851950:MZN851960 NJJ851950:NJJ851960 NTF851950:NTF851960 ODB851950:ODB851960 OMX851950:OMX851960 OWT851950:OWT851960 PGP851950:PGP851960 PQL851950:PQL851960 QAH851950:QAH851960 QKD851950:QKD851960 QTZ851950:QTZ851960 RDV851950:RDV851960 RNR851950:RNR851960 RXN851950:RXN851960 SHJ851950:SHJ851960 SRF851950:SRF851960 TBB851950:TBB851960 TKX851950:TKX851960 TUT851950:TUT851960 UEP851950:UEP851960 UOL851950:UOL851960 UYH851950:UYH851960 VID851950:VID851960 VRZ851950:VRZ851960 WBV851950:WBV851960 WLR851950:WLR851960 WVN851950:WVN851960 JB917486:JB917496 SX917486:SX917496 ACT917486:ACT917496 AMP917486:AMP917496 AWL917486:AWL917496 BGH917486:BGH917496 BQD917486:BQD917496 BZZ917486:BZZ917496 CJV917486:CJV917496 CTR917486:CTR917496 DDN917486:DDN917496 DNJ917486:DNJ917496 DXF917486:DXF917496 EHB917486:EHB917496 EQX917486:EQX917496 FAT917486:FAT917496 FKP917486:FKP917496 FUL917486:FUL917496 GEH917486:GEH917496 GOD917486:GOD917496 GXZ917486:GXZ917496 HHV917486:HHV917496 HRR917486:HRR917496 IBN917486:IBN917496 ILJ917486:ILJ917496 IVF917486:IVF917496 JFB917486:JFB917496 JOX917486:JOX917496 JYT917486:JYT917496 KIP917486:KIP917496 KSL917486:KSL917496 LCH917486:LCH917496 LMD917486:LMD917496 LVZ917486:LVZ917496 MFV917486:MFV917496 MPR917486:MPR917496 MZN917486:MZN917496 NJJ917486:NJJ917496 NTF917486:NTF917496 ODB917486:ODB917496 OMX917486:OMX917496 OWT917486:OWT917496 PGP917486:PGP917496 PQL917486:PQL917496 QAH917486:QAH917496 QKD917486:QKD917496 QTZ917486:QTZ917496 RDV917486:RDV917496 RNR917486:RNR917496 RXN917486:RXN917496 SHJ917486:SHJ917496 SRF917486:SRF917496 TBB917486:TBB917496 TKX917486:TKX917496 TUT917486:TUT917496 UEP917486:UEP917496 UOL917486:UOL917496 UYH917486:UYH917496 VID917486:VID917496 VRZ917486:VRZ917496 WBV917486:WBV917496 WLR917486:WLR917496 WVN917486:WVN917496 JB983022:JB983032 SX983022:SX983032 ACT983022:ACT983032 AMP983022:AMP983032 AWL983022:AWL983032 BGH983022:BGH983032 BQD983022:BQD983032 BZZ983022:BZZ983032 CJV983022:CJV983032 CTR983022:CTR983032 DDN983022:DDN983032 DNJ983022:DNJ983032 DXF983022:DXF983032 EHB983022:EHB983032 EQX983022:EQX983032 FAT983022:FAT983032 FKP983022:FKP983032 FUL983022:FUL983032 GEH983022:GEH983032 GOD983022:GOD983032 GXZ983022:GXZ983032 HHV983022:HHV983032 HRR983022:HRR983032 IBN983022:IBN983032 ILJ983022:ILJ983032 IVF983022:IVF983032 JFB983022:JFB983032 JOX983022:JOX983032 JYT983022:JYT983032 KIP983022:KIP983032 KSL983022:KSL983032 LCH983022:LCH983032 LMD983022:LMD983032 LVZ983022:LVZ983032 MFV983022:MFV983032 MPR983022:MPR983032 MZN983022:MZN983032 NJJ983022:NJJ983032 NTF983022:NTF983032 ODB983022:ODB983032 OMX983022:OMX983032 OWT983022:OWT983032 PGP983022:PGP983032 PQL983022:PQL983032 QAH983022:QAH983032 QKD983022:QKD983032 QTZ983022:QTZ983032 RDV983022:RDV983032 RNR983022:RNR983032 RXN983022:RXN983032 SHJ983022:SHJ983032 SRF983022:SRF983032 TBB983022:TBB983032 TKX983022:TKX983032 TUT983022:TUT983032 UEP983022:UEP983032 UOL983022:UOL983032 UYH983022:UYH983032 VID983022:VID983032 VRZ983022:VRZ983032 WBV983022:WBV983032 WLR983022:WLR983032" xr:uid="{27FD365B-4917-4BF6-A113-D162486FD74B}">
      <formula1>"0% IVA,12% IVA,No Objeto IVA,EXENTO"</formula1>
    </dataValidation>
    <dataValidation type="list" allowBlank="1" showInputMessage="1" showErrorMessage="1" sqref="JB65529:JB131051 SX65529:SX131051 ACT65529:ACT131051 AMP65529:AMP131051 AWL65529:AWL131051 BGH65529:BGH131051 BQD65529:BQD131051 BZZ65529:BZZ131051 CJV65529:CJV131051 CTR65529:CTR131051 DDN65529:DDN131051 DNJ65529:DNJ131051 DXF65529:DXF131051 EHB65529:EHB131051 EQX65529:EQX131051 FAT65529:FAT131051 FKP65529:FKP131051 FUL65529:FUL131051 GEH65529:GEH131051 GOD65529:GOD131051 GXZ65529:GXZ131051 HHV65529:HHV131051 HRR65529:HRR131051 IBN65529:IBN131051 ILJ65529:ILJ131051 IVF65529:IVF131051 JFB65529:JFB131051 JOX65529:JOX131051 JYT65529:JYT131051 KIP65529:KIP131051 KSL65529:KSL131051 LCH65529:LCH131051 LMD65529:LMD131051 LVZ65529:LVZ131051 MFV65529:MFV131051 MPR65529:MPR131051 MZN65529:MZN131051 NJJ65529:NJJ131051 NTF65529:NTF131051 ODB65529:ODB131051 OMX65529:OMX131051 OWT65529:OWT131051 PGP65529:PGP131051 PQL65529:PQL131051 QAH65529:QAH131051 QKD65529:QKD131051 QTZ65529:QTZ131051 RDV65529:RDV131051 RNR65529:RNR131051 RXN65529:RXN131051 SHJ65529:SHJ131051 SRF65529:SRF131051 TBB65529:TBB131051 TKX65529:TKX131051 TUT65529:TUT131051 UEP65529:UEP131051 UOL65529:UOL131051 UYH65529:UYH131051 VID65529:VID131051 VRZ65529:VRZ131051 WBV65529:WBV131051 WLR65529:WLR131051 WVN65529:WVN131051 JB131065:JB196587 SX131065:SX196587 ACT131065:ACT196587 AMP131065:AMP196587 AWL131065:AWL196587 BGH131065:BGH196587 BQD131065:BQD196587 BZZ131065:BZZ196587 CJV131065:CJV196587 CTR131065:CTR196587 DDN131065:DDN196587 DNJ131065:DNJ196587 DXF131065:DXF196587 EHB131065:EHB196587 EQX131065:EQX196587 FAT131065:FAT196587 FKP131065:FKP196587 FUL131065:FUL196587 GEH131065:GEH196587 GOD131065:GOD196587 GXZ131065:GXZ196587 HHV131065:HHV196587 HRR131065:HRR196587 IBN131065:IBN196587 ILJ131065:ILJ196587 IVF131065:IVF196587 JFB131065:JFB196587 JOX131065:JOX196587 JYT131065:JYT196587 KIP131065:KIP196587 KSL131065:KSL196587 LCH131065:LCH196587 LMD131065:LMD196587 LVZ131065:LVZ196587 MFV131065:MFV196587 MPR131065:MPR196587 MZN131065:MZN196587 NJJ131065:NJJ196587 NTF131065:NTF196587 ODB131065:ODB196587 OMX131065:OMX196587 OWT131065:OWT196587 PGP131065:PGP196587 PQL131065:PQL196587 QAH131065:QAH196587 QKD131065:QKD196587 QTZ131065:QTZ196587 RDV131065:RDV196587 RNR131065:RNR196587 RXN131065:RXN196587 SHJ131065:SHJ196587 SRF131065:SRF196587 TBB131065:TBB196587 TKX131065:TKX196587 TUT131065:TUT196587 UEP131065:UEP196587 UOL131065:UOL196587 UYH131065:UYH196587 VID131065:VID196587 VRZ131065:VRZ196587 WBV131065:WBV196587 WLR131065:WLR196587 WVN131065:WVN196587 JB196601:JB262123 SX196601:SX262123 ACT196601:ACT262123 AMP196601:AMP262123 AWL196601:AWL262123 BGH196601:BGH262123 BQD196601:BQD262123 BZZ196601:BZZ262123 CJV196601:CJV262123 CTR196601:CTR262123 DDN196601:DDN262123 DNJ196601:DNJ262123 DXF196601:DXF262123 EHB196601:EHB262123 EQX196601:EQX262123 FAT196601:FAT262123 FKP196601:FKP262123 FUL196601:FUL262123 GEH196601:GEH262123 GOD196601:GOD262123 GXZ196601:GXZ262123 HHV196601:HHV262123 HRR196601:HRR262123 IBN196601:IBN262123 ILJ196601:ILJ262123 IVF196601:IVF262123 JFB196601:JFB262123 JOX196601:JOX262123 JYT196601:JYT262123 KIP196601:KIP262123 KSL196601:KSL262123 LCH196601:LCH262123 LMD196601:LMD262123 LVZ196601:LVZ262123 MFV196601:MFV262123 MPR196601:MPR262123 MZN196601:MZN262123 NJJ196601:NJJ262123 NTF196601:NTF262123 ODB196601:ODB262123 OMX196601:OMX262123 OWT196601:OWT262123 PGP196601:PGP262123 PQL196601:PQL262123 QAH196601:QAH262123 QKD196601:QKD262123 QTZ196601:QTZ262123 RDV196601:RDV262123 RNR196601:RNR262123 RXN196601:RXN262123 SHJ196601:SHJ262123 SRF196601:SRF262123 TBB196601:TBB262123 TKX196601:TKX262123 TUT196601:TUT262123 UEP196601:UEP262123 UOL196601:UOL262123 UYH196601:UYH262123 VID196601:VID262123 VRZ196601:VRZ262123 WBV196601:WBV262123 WLR196601:WLR262123 WVN196601:WVN262123 JB262137:JB327659 SX262137:SX327659 ACT262137:ACT327659 AMP262137:AMP327659 AWL262137:AWL327659 BGH262137:BGH327659 BQD262137:BQD327659 BZZ262137:BZZ327659 CJV262137:CJV327659 CTR262137:CTR327659 DDN262137:DDN327659 DNJ262137:DNJ327659 DXF262137:DXF327659 EHB262137:EHB327659 EQX262137:EQX327659 FAT262137:FAT327659 FKP262137:FKP327659 FUL262137:FUL327659 GEH262137:GEH327659 GOD262137:GOD327659 GXZ262137:GXZ327659 HHV262137:HHV327659 HRR262137:HRR327659 IBN262137:IBN327659 ILJ262137:ILJ327659 IVF262137:IVF327659 JFB262137:JFB327659 JOX262137:JOX327659 JYT262137:JYT327659 KIP262137:KIP327659 KSL262137:KSL327659 LCH262137:LCH327659 LMD262137:LMD327659 LVZ262137:LVZ327659 MFV262137:MFV327659 MPR262137:MPR327659 MZN262137:MZN327659 NJJ262137:NJJ327659 NTF262137:NTF327659 ODB262137:ODB327659 OMX262137:OMX327659 OWT262137:OWT327659 PGP262137:PGP327659 PQL262137:PQL327659 QAH262137:QAH327659 QKD262137:QKD327659 QTZ262137:QTZ327659 RDV262137:RDV327659 RNR262137:RNR327659 RXN262137:RXN327659 SHJ262137:SHJ327659 SRF262137:SRF327659 TBB262137:TBB327659 TKX262137:TKX327659 TUT262137:TUT327659 UEP262137:UEP327659 UOL262137:UOL327659 UYH262137:UYH327659 VID262137:VID327659 VRZ262137:VRZ327659 WBV262137:WBV327659 WLR262137:WLR327659 WVN262137:WVN327659 JB327673:JB393195 SX327673:SX393195 ACT327673:ACT393195 AMP327673:AMP393195 AWL327673:AWL393195 BGH327673:BGH393195 BQD327673:BQD393195 BZZ327673:BZZ393195 CJV327673:CJV393195 CTR327673:CTR393195 DDN327673:DDN393195 DNJ327673:DNJ393195 DXF327673:DXF393195 EHB327673:EHB393195 EQX327673:EQX393195 FAT327673:FAT393195 FKP327673:FKP393195 FUL327673:FUL393195 GEH327673:GEH393195 GOD327673:GOD393195 GXZ327673:GXZ393195 HHV327673:HHV393195 HRR327673:HRR393195 IBN327673:IBN393195 ILJ327673:ILJ393195 IVF327673:IVF393195 JFB327673:JFB393195 JOX327673:JOX393195 JYT327673:JYT393195 KIP327673:KIP393195 KSL327673:KSL393195 LCH327673:LCH393195 LMD327673:LMD393195 LVZ327673:LVZ393195 MFV327673:MFV393195 MPR327673:MPR393195 MZN327673:MZN393195 NJJ327673:NJJ393195 NTF327673:NTF393195 ODB327673:ODB393195 OMX327673:OMX393195 OWT327673:OWT393195 PGP327673:PGP393195 PQL327673:PQL393195 QAH327673:QAH393195 QKD327673:QKD393195 QTZ327673:QTZ393195 RDV327673:RDV393195 RNR327673:RNR393195 RXN327673:RXN393195 SHJ327673:SHJ393195 SRF327673:SRF393195 TBB327673:TBB393195 TKX327673:TKX393195 TUT327673:TUT393195 UEP327673:UEP393195 UOL327673:UOL393195 UYH327673:UYH393195 VID327673:VID393195 VRZ327673:VRZ393195 WBV327673:WBV393195 WLR327673:WLR393195 WVN327673:WVN393195 JB393209:JB458731 SX393209:SX458731 ACT393209:ACT458731 AMP393209:AMP458731 AWL393209:AWL458731 BGH393209:BGH458731 BQD393209:BQD458731 BZZ393209:BZZ458731 CJV393209:CJV458731 CTR393209:CTR458731 DDN393209:DDN458731 DNJ393209:DNJ458731 DXF393209:DXF458731 EHB393209:EHB458731 EQX393209:EQX458731 FAT393209:FAT458731 FKP393209:FKP458731 FUL393209:FUL458731 GEH393209:GEH458731 GOD393209:GOD458731 GXZ393209:GXZ458731 HHV393209:HHV458731 HRR393209:HRR458731 IBN393209:IBN458731 ILJ393209:ILJ458731 IVF393209:IVF458731 JFB393209:JFB458731 JOX393209:JOX458731 JYT393209:JYT458731 KIP393209:KIP458731 KSL393209:KSL458731 LCH393209:LCH458731 LMD393209:LMD458731 LVZ393209:LVZ458731 MFV393209:MFV458731 MPR393209:MPR458731 MZN393209:MZN458731 NJJ393209:NJJ458731 NTF393209:NTF458731 ODB393209:ODB458731 OMX393209:OMX458731 OWT393209:OWT458731 PGP393209:PGP458731 PQL393209:PQL458731 QAH393209:QAH458731 QKD393209:QKD458731 QTZ393209:QTZ458731 RDV393209:RDV458731 RNR393209:RNR458731 RXN393209:RXN458731 SHJ393209:SHJ458731 SRF393209:SRF458731 TBB393209:TBB458731 TKX393209:TKX458731 TUT393209:TUT458731 UEP393209:UEP458731 UOL393209:UOL458731 UYH393209:UYH458731 VID393209:VID458731 VRZ393209:VRZ458731 WBV393209:WBV458731 WLR393209:WLR458731 WVN393209:WVN458731 JB458745:JB524267 SX458745:SX524267 ACT458745:ACT524267 AMP458745:AMP524267 AWL458745:AWL524267 BGH458745:BGH524267 BQD458745:BQD524267 BZZ458745:BZZ524267 CJV458745:CJV524267 CTR458745:CTR524267 DDN458745:DDN524267 DNJ458745:DNJ524267 DXF458745:DXF524267 EHB458745:EHB524267 EQX458745:EQX524267 FAT458745:FAT524267 FKP458745:FKP524267 FUL458745:FUL524267 GEH458745:GEH524267 GOD458745:GOD524267 GXZ458745:GXZ524267 HHV458745:HHV524267 HRR458745:HRR524267 IBN458745:IBN524267 ILJ458745:ILJ524267 IVF458745:IVF524267 JFB458745:JFB524267 JOX458745:JOX524267 JYT458745:JYT524267 KIP458745:KIP524267 KSL458745:KSL524267 LCH458745:LCH524267 LMD458745:LMD524267 LVZ458745:LVZ524267 MFV458745:MFV524267 MPR458745:MPR524267 MZN458745:MZN524267 NJJ458745:NJJ524267 NTF458745:NTF524267 ODB458745:ODB524267 OMX458745:OMX524267 OWT458745:OWT524267 PGP458745:PGP524267 PQL458745:PQL524267 QAH458745:QAH524267 QKD458745:QKD524267 QTZ458745:QTZ524267 RDV458745:RDV524267 RNR458745:RNR524267 RXN458745:RXN524267 SHJ458745:SHJ524267 SRF458745:SRF524267 TBB458745:TBB524267 TKX458745:TKX524267 TUT458745:TUT524267 UEP458745:UEP524267 UOL458745:UOL524267 UYH458745:UYH524267 VID458745:VID524267 VRZ458745:VRZ524267 WBV458745:WBV524267 WLR458745:WLR524267 WVN458745:WVN524267 JB524281:JB589803 SX524281:SX589803 ACT524281:ACT589803 AMP524281:AMP589803 AWL524281:AWL589803 BGH524281:BGH589803 BQD524281:BQD589803 BZZ524281:BZZ589803 CJV524281:CJV589803 CTR524281:CTR589803 DDN524281:DDN589803 DNJ524281:DNJ589803 DXF524281:DXF589803 EHB524281:EHB589803 EQX524281:EQX589803 FAT524281:FAT589803 FKP524281:FKP589803 FUL524281:FUL589803 GEH524281:GEH589803 GOD524281:GOD589803 GXZ524281:GXZ589803 HHV524281:HHV589803 HRR524281:HRR589803 IBN524281:IBN589803 ILJ524281:ILJ589803 IVF524281:IVF589803 JFB524281:JFB589803 JOX524281:JOX589803 JYT524281:JYT589803 KIP524281:KIP589803 KSL524281:KSL589803 LCH524281:LCH589803 LMD524281:LMD589803 LVZ524281:LVZ589803 MFV524281:MFV589803 MPR524281:MPR589803 MZN524281:MZN589803 NJJ524281:NJJ589803 NTF524281:NTF589803 ODB524281:ODB589803 OMX524281:OMX589803 OWT524281:OWT589803 PGP524281:PGP589803 PQL524281:PQL589803 QAH524281:QAH589803 QKD524281:QKD589803 QTZ524281:QTZ589803 RDV524281:RDV589803 RNR524281:RNR589803 RXN524281:RXN589803 SHJ524281:SHJ589803 SRF524281:SRF589803 TBB524281:TBB589803 TKX524281:TKX589803 TUT524281:TUT589803 UEP524281:UEP589803 UOL524281:UOL589803 UYH524281:UYH589803 VID524281:VID589803 VRZ524281:VRZ589803 WBV524281:WBV589803 WLR524281:WLR589803 WVN524281:WVN589803 JB589817:JB655339 SX589817:SX655339 ACT589817:ACT655339 AMP589817:AMP655339 AWL589817:AWL655339 BGH589817:BGH655339 BQD589817:BQD655339 BZZ589817:BZZ655339 CJV589817:CJV655339 CTR589817:CTR655339 DDN589817:DDN655339 DNJ589817:DNJ655339 DXF589817:DXF655339 EHB589817:EHB655339 EQX589817:EQX655339 FAT589817:FAT655339 FKP589817:FKP655339 FUL589817:FUL655339 GEH589817:GEH655339 GOD589817:GOD655339 GXZ589817:GXZ655339 HHV589817:HHV655339 HRR589817:HRR655339 IBN589817:IBN655339 ILJ589817:ILJ655339 IVF589817:IVF655339 JFB589817:JFB655339 JOX589817:JOX655339 JYT589817:JYT655339 KIP589817:KIP655339 KSL589817:KSL655339 LCH589817:LCH655339 LMD589817:LMD655339 LVZ589817:LVZ655339 MFV589817:MFV655339 MPR589817:MPR655339 MZN589817:MZN655339 NJJ589817:NJJ655339 NTF589817:NTF655339 ODB589817:ODB655339 OMX589817:OMX655339 OWT589817:OWT655339 PGP589817:PGP655339 PQL589817:PQL655339 QAH589817:QAH655339 QKD589817:QKD655339 QTZ589817:QTZ655339 RDV589817:RDV655339 RNR589817:RNR655339 RXN589817:RXN655339 SHJ589817:SHJ655339 SRF589817:SRF655339 TBB589817:TBB655339 TKX589817:TKX655339 TUT589817:TUT655339 UEP589817:UEP655339 UOL589817:UOL655339 UYH589817:UYH655339 VID589817:VID655339 VRZ589817:VRZ655339 WBV589817:WBV655339 WLR589817:WLR655339 WVN589817:WVN655339 JB655353:JB720875 SX655353:SX720875 ACT655353:ACT720875 AMP655353:AMP720875 AWL655353:AWL720875 BGH655353:BGH720875 BQD655353:BQD720875 BZZ655353:BZZ720875 CJV655353:CJV720875 CTR655353:CTR720875 DDN655353:DDN720875 DNJ655353:DNJ720875 DXF655353:DXF720875 EHB655353:EHB720875 EQX655353:EQX720875 FAT655353:FAT720875 FKP655353:FKP720875 FUL655353:FUL720875 GEH655353:GEH720875 GOD655353:GOD720875 GXZ655353:GXZ720875 HHV655353:HHV720875 HRR655353:HRR720875 IBN655353:IBN720875 ILJ655353:ILJ720875 IVF655353:IVF720875 JFB655353:JFB720875 JOX655353:JOX720875 JYT655353:JYT720875 KIP655353:KIP720875 KSL655353:KSL720875 LCH655353:LCH720875 LMD655353:LMD720875 LVZ655353:LVZ720875 MFV655353:MFV720875 MPR655353:MPR720875 MZN655353:MZN720875 NJJ655353:NJJ720875 NTF655353:NTF720875 ODB655353:ODB720875 OMX655353:OMX720875 OWT655353:OWT720875 PGP655353:PGP720875 PQL655353:PQL720875 QAH655353:QAH720875 QKD655353:QKD720875 QTZ655353:QTZ720875 RDV655353:RDV720875 RNR655353:RNR720875 RXN655353:RXN720875 SHJ655353:SHJ720875 SRF655353:SRF720875 TBB655353:TBB720875 TKX655353:TKX720875 TUT655353:TUT720875 UEP655353:UEP720875 UOL655353:UOL720875 UYH655353:UYH720875 VID655353:VID720875 VRZ655353:VRZ720875 WBV655353:WBV720875 WLR655353:WLR720875 WVN655353:WVN720875 JB720889:JB786411 SX720889:SX786411 ACT720889:ACT786411 AMP720889:AMP786411 AWL720889:AWL786411 BGH720889:BGH786411 BQD720889:BQD786411 BZZ720889:BZZ786411 CJV720889:CJV786411 CTR720889:CTR786411 DDN720889:DDN786411 DNJ720889:DNJ786411 DXF720889:DXF786411 EHB720889:EHB786411 EQX720889:EQX786411 FAT720889:FAT786411 FKP720889:FKP786411 FUL720889:FUL786411 GEH720889:GEH786411 GOD720889:GOD786411 GXZ720889:GXZ786411 HHV720889:HHV786411 HRR720889:HRR786411 IBN720889:IBN786411 ILJ720889:ILJ786411 IVF720889:IVF786411 JFB720889:JFB786411 JOX720889:JOX786411 JYT720889:JYT786411 KIP720889:KIP786411 KSL720889:KSL786411 LCH720889:LCH786411 LMD720889:LMD786411 LVZ720889:LVZ786411 MFV720889:MFV786411 MPR720889:MPR786411 MZN720889:MZN786411 NJJ720889:NJJ786411 NTF720889:NTF786411 ODB720889:ODB786411 OMX720889:OMX786411 OWT720889:OWT786411 PGP720889:PGP786411 PQL720889:PQL786411 QAH720889:QAH786411 QKD720889:QKD786411 QTZ720889:QTZ786411 RDV720889:RDV786411 RNR720889:RNR786411 RXN720889:RXN786411 SHJ720889:SHJ786411 SRF720889:SRF786411 TBB720889:TBB786411 TKX720889:TKX786411 TUT720889:TUT786411 UEP720889:UEP786411 UOL720889:UOL786411 UYH720889:UYH786411 VID720889:VID786411 VRZ720889:VRZ786411 WBV720889:WBV786411 WLR720889:WLR786411 WVN720889:WVN786411 JB786425:JB851947 SX786425:SX851947 ACT786425:ACT851947 AMP786425:AMP851947 AWL786425:AWL851947 BGH786425:BGH851947 BQD786425:BQD851947 BZZ786425:BZZ851947 CJV786425:CJV851947 CTR786425:CTR851947 DDN786425:DDN851947 DNJ786425:DNJ851947 DXF786425:DXF851947 EHB786425:EHB851947 EQX786425:EQX851947 FAT786425:FAT851947 FKP786425:FKP851947 FUL786425:FUL851947 GEH786425:GEH851947 GOD786425:GOD851947 GXZ786425:GXZ851947 HHV786425:HHV851947 HRR786425:HRR851947 IBN786425:IBN851947 ILJ786425:ILJ851947 IVF786425:IVF851947 JFB786425:JFB851947 JOX786425:JOX851947 JYT786425:JYT851947 KIP786425:KIP851947 KSL786425:KSL851947 LCH786425:LCH851947 LMD786425:LMD851947 LVZ786425:LVZ851947 MFV786425:MFV851947 MPR786425:MPR851947 MZN786425:MZN851947 NJJ786425:NJJ851947 NTF786425:NTF851947 ODB786425:ODB851947 OMX786425:OMX851947 OWT786425:OWT851947 PGP786425:PGP851947 PQL786425:PQL851947 QAH786425:QAH851947 QKD786425:QKD851947 QTZ786425:QTZ851947 RDV786425:RDV851947 RNR786425:RNR851947 RXN786425:RXN851947 SHJ786425:SHJ851947 SRF786425:SRF851947 TBB786425:TBB851947 TKX786425:TKX851947 TUT786425:TUT851947 UEP786425:UEP851947 UOL786425:UOL851947 UYH786425:UYH851947 VID786425:VID851947 VRZ786425:VRZ851947 WBV786425:WBV851947 WLR786425:WLR851947 WVN786425:WVN851947 JB851961:JB917483 SX851961:SX917483 ACT851961:ACT917483 AMP851961:AMP917483 AWL851961:AWL917483 BGH851961:BGH917483 BQD851961:BQD917483 BZZ851961:BZZ917483 CJV851961:CJV917483 CTR851961:CTR917483 DDN851961:DDN917483 DNJ851961:DNJ917483 DXF851961:DXF917483 EHB851961:EHB917483 EQX851961:EQX917483 FAT851961:FAT917483 FKP851961:FKP917483 FUL851961:FUL917483 GEH851961:GEH917483 GOD851961:GOD917483 GXZ851961:GXZ917483 HHV851961:HHV917483 HRR851961:HRR917483 IBN851961:IBN917483 ILJ851961:ILJ917483 IVF851961:IVF917483 JFB851961:JFB917483 JOX851961:JOX917483 JYT851961:JYT917483 KIP851961:KIP917483 KSL851961:KSL917483 LCH851961:LCH917483 LMD851961:LMD917483 LVZ851961:LVZ917483 MFV851961:MFV917483 MPR851961:MPR917483 MZN851961:MZN917483 NJJ851961:NJJ917483 NTF851961:NTF917483 ODB851961:ODB917483 OMX851961:OMX917483 OWT851961:OWT917483 PGP851961:PGP917483 PQL851961:PQL917483 QAH851961:QAH917483 QKD851961:QKD917483 QTZ851961:QTZ917483 RDV851961:RDV917483 RNR851961:RNR917483 RXN851961:RXN917483 SHJ851961:SHJ917483 SRF851961:SRF917483 TBB851961:TBB917483 TKX851961:TKX917483 TUT851961:TUT917483 UEP851961:UEP917483 UOL851961:UOL917483 UYH851961:UYH917483 VID851961:VID917483 VRZ851961:VRZ917483 WBV851961:WBV917483 WLR851961:WLR917483 WVN851961:WVN917483 JB917497:JB983019 SX917497:SX983019 ACT917497:ACT983019 AMP917497:AMP983019 AWL917497:AWL983019 BGH917497:BGH983019 BQD917497:BQD983019 BZZ917497:BZZ983019 CJV917497:CJV983019 CTR917497:CTR983019 DDN917497:DDN983019 DNJ917497:DNJ983019 DXF917497:DXF983019 EHB917497:EHB983019 EQX917497:EQX983019 FAT917497:FAT983019 FKP917497:FKP983019 FUL917497:FUL983019 GEH917497:GEH983019 GOD917497:GOD983019 GXZ917497:GXZ983019 HHV917497:HHV983019 HRR917497:HRR983019 IBN917497:IBN983019 ILJ917497:ILJ983019 IVF917497:IVF983019 JFB917497:JFB983019 JOX917497:JOX983019 JYT917497:JYT983019 KIP917497:KIP983019 KSL917497:KSL983019 LCH917497:LCH983019 LMD917497:LMD983019 LVZ917497:LVZ983019 MFV917497:MFV983019 MPR917497:MPR983019 MZN917497:MZN983019 NJJ917497:NJJ983019 NTF917497:NTF983019 ODB917497:ODB983019 OMX917497:OMX983019 OWT917497:OWT983019 PGP917497:PGP983019 PQL917497:PQL983019 QAH917497:QAH983019 QKD917497:QKD983019 QTZ917497:QTZ983019 RDV917497:RDV983019 RNR917497:RNR983019 RXN917497:RXN983019 SHJ917497:SHJ983019 SRF917497:SRF983019 TBB917497:TBB983019 TKX917497:TKX983019 TUT917497:TUT983019 UEP917497:UEP983019 UOL917497:UOL983019 UYH917497:UYH983019 VID917497:VID983019 VRZ917497:VRZ983019 WBV917497:WBV983019 WLR917497:WLR983019 WVN917497:WVN983019 WVN983033:WVN1048576 JB983033:JB1048576 SX983033:SX1048576 ACT983033:ACT1048576 AMP983033:AMP1048576 AWL983033:AWL1048576 BGH983033:BGH1048576 BQD983033:BQD1048576 BZZ983033:BZZ1048576 CJV983033:CJV1048576 CTR983033:CTR1048576 DDN983033:DDN1048576 DNJ983033:DNJ1048576 DXF983033:DXF1048576 EHB983033:EHB1048576 EQX983033:EQX1048576 FAT983033:FAT1048576 FKP983033:FKP1048576 FUL983033:FUL1048576 GEH983033:GEH1048576 GOD983033:GOD1048576 GXZ983033:GXZ1048576 HHV983033:HHV1048576 HRR983033:HRR1048576 IBN983033:IBN1048576 ILJ983033:ILJ1048576 IVF983033:IVF1048576 JFB983033:JFB1048576 JOX983033:JOX1048576 JYT983033:JYT1048576 KIP983033:KIP1048576 KSL983033:KSL1048576 LCH983033:LCH1048576 LMD983033:LMD1048576 LVZ983033:LVZ1048576 MFV983033:MFV1048576 MPR983033:MPR1048576 MZN983033:MZN1048576 NJJ983033:NJJ1048576 NTF983033:NTF1048576 ODB983033:ODB1048576 OMX983033:OMX1048576 OWT983033:OWT1048576 PGP983033:PGP1048576 PQL983033:PQL1048576 QAH983033:QAH1048576 QKD983033:QKD1048576 QTZ983033:QTZ1048576 RDV983033:RDV1048576 RNR983033:RNR1048576 RXN983033:RXN1048576 SHJ983033:SHJ1048576 SRF983033:SRF1048576 TBB983033:TBB1048576 TKX983033:TKX1048576 TUT983033:TUT1048576 UEP983033:UEP1048576 UOL983033:UOL1048576 UYH983033:UYH1048576 VID983033:VID1048576 VRZ983033:VRZ1048576 WBV983033:WBV1048576 WLR983033:WLR1048576 JB7:JB65515 SX7:SX65515 WVN7:WVN65515 WLR7:WLR65515 WBV7:WBV65515 VRZ7:VRZ65515 VID7:VID65515 UYH7:UYH65515 UOL7:UOL65515 UEP7:UEP65515 TUT7:TUT65515 TKX7:TKX65515 TBB7:TBB65515 SRF7:SRF65515 SHJ7:SHJ65515 RXN7:RXN65515 RNR7:RNR65515 RDV7:RDV65515 QTZ7:QTZ65515 QKD7:QKD65515 QAH7:QAH65515 PQL7:PQL65515 PGP7:PGP65515 OWT7:OWT65515 OMX7:OMX65515 ODB7:ODB65515 NTF7:NTF65515 NJJ7:NJJ65515 MZN7:MZN65515 MPR7:MPR65515 MFV7:MFV65515 LVZ7:LVZ65515 LMD7:LMD65515 LCH7:LCH65515 KSL7:KSL65515 KIP7:KIP65515 JYT7:JYT65515 JOX7:JOX65515 JFB7:JFB65515 IVF7:IVF65515 ILJ7:ILJ65515 IBN7:IBN65515 HRR7:HRR65515 HHV7:HHV65515 GXZ7:GXZ65515 GOD7:GOD65515 GEH7:GEH65515 FUL7:FUL65515 FKP7:FKP65515 FAT7:FAT65515 EQX7:EQX65515 EHB7:EHB65515 DXF7:DXF65515 DNJ7:DNJ65515 DDN7:DDN65515 CTR7:CTR65515 CJV7:CJV65515 BZZ7:BZZ65515 BQD7:BQD65515 BGH7:BGH65515 AWL7:AWL65515 AMP7:AMP65515 ACT7:ACT65515" xr:uid="{1FDBCFFD-9F13-4257-9ADA-C1537248D8C2}">
      <formula1>"0-Iva 0%,2-Iva 12%,6-No Objeto Impto."</formula1>
    </dataValidation>
  </dataValidations>
  <pageMargins left="0.75" right="0.75" top="0.39370078740157483" bottom="0.39370078740157483" header="0" footer="0"/>
  <pageSetup paperSize="9" scale="59"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EL9"/>
  <sheetViews>
    <sheetView showGridLines="0" zoomScaleNormal="100" workbookViewId="0">
      <pane xSplit="3" ySplit="6" topLeftCell="D7" activePane="bottomRight" state="frozen"/>
      <selection activeCell="A5" sqref="A5:A6"/>
      <selection pane="topRight" activeCell="A5" sqref="A5:A6"/>
      <selection pane="bottomLeft" activeCell="A5" sqref="A5:A6"/>
      <selection pane="bottomRight" activeCell="D7" sqref="D7"/>
    </sheetView>
  </sheetViews>
  <sheetFormatPr baseColWidth="10" defaultColWidth="10.81640625" defaultRowHeight="11.5" outlineLevelCol="1" x14ac:dyDescent="0.25"/>
  <cols>
    <col min="1" max="1" width="15" style="350" customWidth="1"/>
    <col min="2" max="2" width="9.453125" style="333" hidden="1" customWidth="1"/>
    <col min="3" max="3" width="21.54296875" style="350" customWidth="1"/>
    <col min="4" max="4" width="16.54296875" style="333" customWidth="1" outlineLevel="1"/>
    <col min="5" max="5" width="7.7265625" style="368" customWidth="1"/>
    <col min="6" max="6" width="12.54296875" style="333" hidden="1" customWidth="1" outlineLevel="1"/>
    <col min="7" max="7" width="12" style="350" customWidth="1" collapsed="1"/>
    <col min="8" max="9" width="5.7265625" style="368" customWidth="1"/>
    <col min="10" max="10" width="9.81640625" style="350" customWidth="1"/>
    <col min="11" max="11" width="26.26953125" style="350" customWidth="1"/>
    <col min="12" max="13" width="11.54296875" style="352" customWidth="1"/>
    <col min="14" max="14" width="11.453125" style="333" customWidth="1" outlineLevel="1"/>
    <col min="15" max="16" width="6.1796875" style="368" customWidth="1" outlineLevel="1"/>
    <col min="17" max="17" width="11.453125" style="350" customWidth="1" outlineLevel="1"/>
    <col min="18" max="18" width="14.26953125" style="350" customWidth="1" outlineLevel="1"/>
    <col min="19" max="19" width="22.7265625" style="350" customWidth="1"/>
    <col min="20" max="20" width="38.26953125" style="350" customWidth="1" outlineLevel="1"/>
    <col min="21" max="22" width="11.453125" style="353" customWidth="1"/>
    <col min="23" max="23" width="12.453125" style="353" customWidth="1"/>
    <col min="24" max="24" width="12.1796875" style="353" customWidth="1"/>
    <col min="25" max="25" width="8.26953125" style="353" customWidth="1"/>
    <col min="26" max="26" width="9.453125" style="353" customWidth="1"/>
    <col min="27" max="27" width="12.1796875" style="353" customWidth="1" outlineLevel="1"/>
    <col min="28" max="28" width="8.26953125" style="353" customWidth="1" outlineLevel="1"/>
    <col min="29" max="29" width="9.453125" style="353" customWidth="1" outlineLevel="1"/>
    <col min="30" max="30" width="12.1796875" style="353" customWidth="1" outlineLevel="1"/>
    <col min="31" max="31" width="8.26953125" style="353" customWidth="1" outlineLevel="1"/>
    <col min="32" max="32" width="9.453125" style="353" customWidth="1" outlineLevel="1"/>
    <col min="33" max="33" width="11" style="353" customWidth="1"/>
    <col min="34" max="35" width="11" style="353" customWidth="1" outlineLevel="1"/>
    <col min="36" max="36" width="11" style="353" customWidth="1"/>
    <col min="37" max="37" width="12" style="353" customWidth="1"/>
    <col min="38" max="38" width="11" style="353" customWidth="1"/>
    <col min="39" max="39" width="1.26953125" style="333" customWidth="1"/>
    <col min="40" max="40" width="13.54296875" style="350" hidden="1" customWidth="1" outlineLevel="1"/>
    <col min="41" max="41" width="23.81640625" style="350" hidden="1" customWidth="1" outlineLevel="1"/>
    <col min="42" max="42" width="10.1796875" style="350" hidden="1" customWidth="1" outlineLevel="1"/>
    <col min="43" max="43" width="13.26953125" style="350" hidden="1" customWidth="1" outlineLevel="1"/>
    <col min="44" max="44" width="27.7265625" style="333" customWidth="1" collapsed="1"/>
    <col min="45" max="45" width="6.1796875" style="431" customWidth="1"/>
    <col min="46" max="46" width="11.54296875" style="353" customWidth="1"/>
    <col min="47" max="47" width="6.1796875" style="431" customWidth="1"/>
    <col min="48" max="48" width="11.54296875" style="353" customWidth="1"/>
    <col min="49" max="49" width="6.1796875" style="431" customWidth="1"/>
    <col min="50" max="50" width="11.54296875" style="353" customWidth="1"/>
    <col min="51" max="51" width="1.26953125" style="333" customWidth="1"/>
    <col min="52" max="52" width="14.26953125" style="350" customWidth="1"/>
    <col min="53" max="54" width="5.81640625" style="368" customWidth="1"/>
    <col min="55" max="55" width="10.81640625" style="350" customWidth="1"/>
    <col min="56" max="56" width="22" style="350" customWidth="1"/>
    <col min="57" max="57" width="12.26953125" style="584" customWidth="1"/>
    <col min="58" max="58" width="7" style="533" customWidth="1"/>
    <col min="59" max="59" width="11.81640625" style="353" customWidth="1"/>
    <col min="60" max="60" width="11" style="354" customWidth="1"/>
    <col min="61" max="61" width="9.54296875" style="353" customWidth="1"/>
    <col min="62" max="62" width="11.453125" style="352" hidden="1" customWidth="1" outlineLevel="1"/>
    <col min="63" max="63" width="11.453125" style="353" hidden="1" customWidth="1" outlineLevel="1"/>
    <col min="64" max="64" width="11.453125" style="333" hidden="1" customWidth="1" outlineLevel="1"/>
    <col min="65" max="66" width="11.453125" style="353" hidden="1" customWidth="1" outlineLevel="1"/>
    <col min="67" max="67" width="7" style="533" customWidth="1" collapsed="1"/>
    <col min="68" max="68" width="11" style="353" customWidth="1"/>
    <col min="69" max="69" width="11" style="354" customWidth="1"/>
    <col min="70" max="70" width="9.54296875" style="353" customWidth="1"/>
    <col min="71" max="71" width="11.453125" style="352" hidden="1" customWidth="1" outlineLevel="1"/>
    <col min="72" max="72" width="11.453125" style="353" hidden="1" customWidth="1" outlineLevel="1"/>
    <col min="73" max="75" width="11.453125" style="333" hidden="1" customWidth="1" outlineLevel="1"/>
    <col min="76" max="76" width="7" style="533" customWidth="1" collapsed="1"/>
    <col min="77" max="77" width="11.453125" style="353" customWidth="1"/>
    <col min="78" max="78" width="11.453125" style="354" customWidth="1"/>
    <col min="79" max="79" width="9.54296875" style="353" customWidth="1"/>
    <col min="80" max="80" width="1.26953125" style="333" customWidth="1"/>
    <col min="81" max="82" width="11.453125" style="353" hidden="1" customWidth="1" outlineLevel="1"/>
    <col min="83" max="83" width="11" style="353" customWidth="1" collapsed="1"/>
    <col min="84" max="84" width="11.453125" style="353" customWidth="1" outlineLevel="1"/>
    <col min="85" max="86" width="11" style="353" customWidth="1"/>
    <col min="87" max="88" width="11" style="353" customWidth="1" outlineLevel="1"/>
    <col min="89" max="89" width="11" style="353" customWidth="1"/>
    <col min="90" max="90" width="23.81640625" style="350" hidden="1" customWidth="1" outlineLevel="1"/>
    <col min="91" max="91" width="10.1796875" style="350" hidden="1" customWidth="1" outlineLevel="1"/>
    <col min="92" max="92" width="13.26953125" style="350" hidden="1" customWidth="1" outlineLevel="1"/>
    <col min="93" max="93" width="2" style="333" customWidth="1" collapsed="1"/>
    <col min="94" max="94" width="20.81640625" style="333" customWidth="1"/>
    <col min="95" max="95" width="20" style="333" customWidth="1"/>
    <col min="96" max="96" width="20" style="333" hidden="1" customWidth="1" outlineLevel="1"/>
    <col min="97" max="97" width="21.1796875" style="333" customWidth="1" collapsed="1"/>
    <col min="98" max="99" width="20.81640625" style="333" hidden="1" customWidth="1" outlineLevel="1"/>
    <col min="100" max="100" width="20.81640625" style="350" hidden="1" customWidth="1" outlineLevel="1"/>
    <col min="101" max="101" width="19.7265625" style="333" hidden="1" customWidth="1" outlineLevel="1"/>
    <col min="102" max="104" width="9.54296875" style="351" hidden="1" customWidth="1" outlineLevel="1"/>
    <col min="105" max="105" width="1.81640625" style="333" customWidth="1" collapsed="1"/>
    <col min="106" max="106" width="6.453125" style="351" customWidth="1"/>
    <col min="107" max="108" width="9.54296875" style="351" customWidth="1"/>
    <col min="109" max="118" width="11.453125" style="353" hidden="1" customWidth="1" outlineLevel="1"/>
    <col min="119" max="119" width="1.81640625" style="333" customWidth="1" collapsed="1"/>
    <col min="120" max="120" width="22.453125" style="350" hidden="1" customWidth="1" outlineLevel="1"/>
    <col min="121" max="122" width="9.54296875" style="368" hidden="1" customWidth="1" outlineLevel="1"/>
    <col min="123" max="123" width="27.7265625" style="350" hidden="1" customWidth="1" outlineLevel="1"/>
    <col min="124" max="124" width="14.81640625" style="350" hidden="1" customWidth="1" outlineLevel="1"/>
    <col min="125" max="126" width="21.54296875" style="350" hidden="1" customWidth="1" outlineLevel="1"/>
    <col min="127" max="127" width="18.1796875" style="350" hidden="1" customWidth="1" outlineLevel="1"/>
    <col min="128" max="130" width="9.54296875" style="368" hidden="1" customWidth="1" outlineLevel="1"/>
    <col min="131" max="131" width="21" style="350" hidden="1" customWidth="1" outlineLevel="1"/>
    <col min="132" max="132" width="16.453125" style="350" hidden="1" customWidth="1" outlineLevel="1"/>
    <col min="133" max="133" width="27.7265625" style="350" hidden="1" customWidth="1" outlineLevel="1"/>
    <col min="134" max="134" width="21.54296875" style="350" hidden="1" customWidth="1" outlineLevel="1"/>
    <col min="135" max="137" width="11.453125" style="353" hidden="1" customWidth="1" outlineLevel="1"/>
    <col min="138" max="138" width="21.453125" style="350" hidden="1" customWidth="1" outlineLevel="1"/>
    <col min="139" max="139" width="13" style="333" hidden="1" customWidth="1" outlineLevel="1"/>
    <col min="140" max="140" width="1.81640625" style="333" customWidth="1" collapsed="1"/>
    <col min="141" max="141" width="27.7265625" style="350" customWidth="1"/>
    <col min="142" max="142" width="2.453125" style="333" customWidth="1"/>
    <col min="143" max="16384" width="10.81640625" style="333"/>
  </cols>
  <sheetData>
    <row r="1" spans="1:142" ht="20.149999999999999" customHeight="1" x14ac:dyDescent="0.25">
      <c r="A1" s="372" t="str">
        <f>Parametros!D4&amp;" - "&amp;Parametros!D5</f>
        <v>1306304542001 - VELIZ NAPA JAVIER</v>
      </c>
      <c r="B1" s="321"/>
      <c r="C1" s="322"/>
      <c r="D1" s="322"/>
      <c r="E1" s="323"/>
      <c r="F1" s="322"/>
      <c r="G1" s="322"/>
      <c r="H1" s="323"/>
      <c r="I1" s="323"/>
      <c r="J1" s="322"/>
      <c r="K1" s="322"/>
      <c r="L1" s="324"/>
      <c r="M1" s="324"/>
      <c r="N1" s="322"/>
      <c r="O1" s="323"/>
      <c r="P1" s="323"/>
      <c r="Q1" s="322"/>
      <c r="R1" s="322"/>
      <c r="S1" s="322"/>
      <c r="T1" s="322"/>
      <c r="U1" s="326"/>
      <c r="V1" s="326"/>
      <c r="W1" s="326"/>
      <c r="X1" s="326"/>
      <c r="Y1" s="326"/>
      <c r="Z1" s="326"/>
      <c r="AA1" s="326"/>
      <c r="AB1" s="326"/>
      <c r="AC1" s="326"/>
      <c r="AD1" s="326"/>
      <c r="AE1" s="326"/>
      <c r="AF1" s="326"/>
      <c r="AG1" s="326"/>
      <c r="AH1" s="326"/>
      <c r="AI1" s="326"/>
      <c r="AJ1" s="326"/>
      <c r="AK1" s="327"/>
      <c r="AL1" s="326"/>
      <c r="AN1" s="322"/>
      <c r="AO1" s="322"/>
      <c r="AP1" s="322"/>
      <c r="AQ1" s="322"/>
      <c r="AR1" s="325"/>
      <c r="AS1" s="429"/>
      <c r="AT1" s="326"/>
      <c r="AU1" s="432"/>
      <c r="AV1" s="326"/>
      <c r="AW1" s="432"/>
      <c r="AX1" s="326"/>
      <c r="AZ1" s="328"/>
      <c r="BA1" s="323"/>
      <c r="BB1" s="323"/>
      <c r="BC1" s="328"/>
      <c r="BD1" s="328"/>
      <c r="BE1" s="582"/>
      <c r="BF1" s="329"/>
      <c r="BG1" s="326"/>
      <c r="BH1" s="330"/>
      <c r="BI1" s="326"/>
      <c r="BJ1" s="324"/>
      <c r="BK1" s="326"/>
      <c r="BL1" s="331"/>
      <c r="BM1" s="326"/>
      <c r="BN1" s="326"/>
      <c r="BO1" s="329"/>
      <c r="BP1" s="326"/>
      <c r="BQ1" s="330"/>
      <c r="BR1" s="326"/>
      <c r="BS1" s="324"/>
      <c r="BT1" s="326"/>
      <c r="BU1" s="331"/>
      <c r="BV1" s="332"/>
      <c r="BW1" s="322"/>
      <c r="BX1" s="329"/>
      <c r="BY1" s="326"/>
      <c r="BZ1" s="330"/>
      <c r="CA1" s="326"/>
      <c r="CC1" s="326"/>
      <c r="CD1" s="326"/>
      <c r="CE1" s="326"/>
      <c r="CF1" s="326"/>
      <c r="CG1" s="326"/>
      <c r="CH1" s="326"/>
      <c r="CI1" s="326"/>
      <c r="CJ1" s="326"/>
      <c r="CK1" s="326"/>
      <c r="CL1" s="322"/>
      <c r="CM1" s="322"/>
      <c r="CN1" s="322"/>
      <c r="CP1" s="325"/>
      <c r="CQ1" s="325"/>
      <c r="CR1" s="325"/>
      <c r="CS1" s="325"/>
      <c r="CT1" s="325"/>
      <c r="CU1" s="325"/>
      <c r="CV1" s="322"/>
      <c r="CW1" s="325"/>
      <c r="CX1" s="321"/>
      <c r="CY1" s="321"/>
      <c r="CZ1" s="321"/>
      <c r="DA1" s="325"/>
      <c r="DB1" s="321"/>
      <c r="DC1" s="321"/>
      <c r="DD1" s="321"/>
      <c r="DE1" s="326"/>
      <c r="DF1" s="326"/>
      <c r="DG1" s="326"/>
      <c r="DH1" s="326"/>
      <c r="DI1" s="326"/>
      <c r="DJ1" s="326"/>
      <c r="DK1" s="326"/>
      <c r="DL1" s="326"/>
      <c r="DM1" s="326"/>
      <c r="DN1" s="326"/>
      <c r="DO1" s="325"/>
      <c r="DP1" s="322"/>
      <c r="DQ1" s="322"/>
      <c r="DR1" s="323"/>
      <c r="DS1" s="322"/>
      <c r="DT1" s="322"/>
      <c r="DU1" s="322"/>
      <c r="DV1" s="322"/>
      <c r="DW1" s="322"/>
      <c r="DX1" s="323"/>
      <c r="DY1" s="323"/>
      <c r="DZ1" s="323"/>
      <c r="EA1" s="322"/>
      <c r="EB1" s="322"/>
      <c r="EC1" s="322"/>
      <c r="ED1" s="322"/>
      <c r="EE1" s="326"/>
      <c r="EF1" s="326"/>
      <c r="EG1" s="326"/>
      <c r="EH1" s="322"/>
      <c r="EI1" s="325"/>
      <c r="EJ1" s="325"/>
      <c r="EK1" s="322"/>
      <c r="EL1" s="325"/>
    </row>
    <row r="2" spans="1:142" ht="19.5" customHeight="1" x14ac:dyDescent="0.25">
      <c r="A2" s="373" t="s">
        <v>1243</v>
      </c>
      <c r="B2" s="334"/>
      <c r="C2" s="334"/>
      <c r="D2" s="322"/>
      <c r="E2" s="323"/>
      <c r="F2" s="322"/>
      <c r="G2" s="322"/>
      <c r="H2" s="323"/>
      <c r="I2" s="323"/>
      <c r="J2" s="322"/>
      <c r="K2" s="322"/>
      <c r="L2" s="324"/>
      <c r="M2" s="324"/>
      <c r="N2" s="322"/>
      <c r="O2" s="323"/>
      <c r="P2" s="323"/>
      <c r="Q2" s="322"/>
      <c r="R2" s="322"/>
      <c r="S2" s="322"/>
      <c r="T2" s="322"/>
      <c r="U2" s="326"/>
      <c r="V2" s="326"/>
      <c r="W2" s="326"/>
      <c r="X2" s="326"/>
      <c r="Y2" s="326"/>
      <c r="Z2" s="326"/>
      <c r="AA2" s="326"/>
      <c r="AB2" s="326"/>
      <c r="AC2" s="326"/>
      <c r="AD2" s="326"/>
      <c r="AE2" s="326"/>
      <c r="AF2" s="326"/>
      <c r="AG2" s="326"/>
      <c r="AH2" s="326"/>
      <c r="AK2" s="537"/>
      <c r="AL2" s="326"/>
      <c r="AN2" s="322"/>
      <c r="AO2" s="322"/>
      <c r="AP2" s="322"/>
      <c r="AQ2" s="322"/>
      <c r="AR2" s="325"/>
      <c r="AS2" s="429"/>
      <c r="AT2" s="326"/>
      <c r="AU2" s="432"/>
      <c r="AV2" s="335"/>
      <c r="AW2" s="432"/>
      <c r="AX2" s="326"/>
      <c r="AZ2" s="328"/>
      <c r="BA2" s="323"/>
      <c r="BB2" s="323"/>
      <c r="BC2" s="328"/>
      <c r="BD2" s="328"/>
      <c r="BE2" s="582"/>
      <c r="BF2" s="329"/>
      <c r="BG2" s="326"/>
      <c r="BH2" s="330"/>
      <c r="BI2" s="326"/>
      <c r="BJ2" s="324"/>
      <c r="BK2" s="326"/>
      <c r="BL2" s="331"/>
      <c r="BM2" s="326"/>
      <c r="BN2" s="326"/>
      <c r="BO2" s="329"/>
      <c r="BP2" s="326"/>
      <c r="BQ2" s="330"/>
      <c r="BR2" s="326"/>
      <c r="BS2" s="324"/>
      <c r="BT2" s="326"/>
      <c r="BU2" s="331"/>
      <c r="BV2" s="332"/>
      <c r="BW2" s="322"/>
      <c r="BX2" s="329"/>
      <c r="BY2" s="326"/>
      <c r="BZ2" s="330"/>
      <c r="CA2" s="326"/>
      <c r="CC2" s="326"/>
      <c r="CD2" s="326"/>
      <c r="CE2" s="326"/>
      <c r="CF2" s="326"/>
      <c r="CG2" s="326"/>
      <c r="CH2" s="326"/>
      <c r="CI2" s="326"/>
      <c r="CJ2" s="326"/>
      <c r="CK2" s="326"/>
      <c r="CL2" s="322"/>
      <c r="CM2" s="322"/>
      <c r="CN2" s="322"/>
      <c r="CP2" s="325"/>
      <c r="CQ2" s="325"/>
      <c r="CR2" s="325"/>
      <c r="CS2" s="325"/>
      <c r="CT2" s="325"/>
      <c r="CU2" s="325"/>
      <c r="CV2" s="322"/>
      <c r="CW2" s="325"/>
      <c r="CX2" s="321"/>
      <c r="CY2" s="321"/>
      <c r="CZ2" s="321"/>
      <c r="DA2" s="325"/>
      <c r="DB2" s="321"/>
      <c r="DC2" s="321"/>
      <c r="DD2" s="321"/>
      <c r="DE2" s="326"/>
      <c r="DF2" s="326"/>
      <c r="DG2" s="326"/>
      <c r="DH2" s="326"/>
      <c r="DI2" s="326"/>
      <c r="DJ2" s="326"/>
      <c r="DK2" s="326"/>
      <c r="DL2" s="326"/>
      <c r="DM2" s="326"/>
      <c r="DN2" s="326"/>
      <c r="DO2" s="325"/>
      <c r="DP2" s="322"/>
      <c r="DQ2" s="323"/>
      <c r="DR2" s="323"/>
      <c r="DS2" s="322"/>
      <c r="DT2" s="322"/>
      <c r="DU2" s="322"/>
      <c r="DV2" s="322"/>
      <c r="DW2" s="322"/>
      <c r="DX2" s="323"/>
      <c r="DY2" s="323"/>
      <c r="DZ2" s="323"/>
      <c r="EA2" s="322"/>
      <c r="EB2" s="322"/>
      <c r="EC2" s="322"/>
      <c r="ED2" s="322"/>
      <c r="EE2" s="326"/>
      <c r="EF2" s="326"/>
      <c r="EG2" s="326"/>
      <c r="EH2" s="322"/>
      <c r="EI2" s="325"/>
      <c r="EJ2" s="325"/>
      <c r="EK2" s="322"/>
      <c r="EL2" s="325"/>
    </row>
    <row r="3" spans="1:142" s="344" customFormat="1" ht="16" hidden="1" customHeight="1" x14ac:dyDescent="0.25">
      <c r="A3" s="336"/>
      <c r="B3" s="337"/>
      <c r="C3" s="338"/>
      <c r="D3" s="338"/>
      <c r="E3" s="338"/>
      <c r="F3" s="338"/>
      <c r="G3" s="338"/>
      <c r="H3" s="338"/>
      <c r="I3" s="338"/>
      <c r="J3" s="338"/>
      <c r="K3" s="338"/>
      <c r="L3" s="339"/>
      <c r="M3" s="339"/>
      <c r="N3" s="338"/>
      <c r="O3" s="338"/>
      <c r="P3" s="338"/>
      <c r="Q3" s="338"/>
      <c r="R3" s="338"/>
      <c r="S3" s="338"/>
      <c r="T3" s="338"/>
      <c r="U3" s="340"/>
      <c r="V3" s="340"/>
      <c r="W3" s="340"/>
      <c r="X3" s="340"/>
      <c r="Y3" s="340"/>
      <c r="Z3" s="340"/>
      <c r="AA3" s="340"/>
      <c r="AB3" s="340"/>
      <c r="AC3" s="340"/>
      <c r="AD3" s="340"/>
      <c r="AE3" s="340"/>
      <c r="AF3" s="340"/>
      <c r="AG3" s="340"/>
      <c r="AH3" s="340"/>
      <c r="AI3" s="374"/>
      <c r="AJ3" s="374"/>
      <c r="AK3" s="340"/>
      <c r="AL3" s="340"/>
      <c r="AM3" s="337"/>
      <c r="AN3" s="338"/>
      <c r="AO3" s="338"/>
      <c r="AP3" s="338"/>
      <c r="AQ3" s="338"/>
      <c r="AR3" s="337"/>
      <c r="AS3" s="430"/>
      <c r="AT3" s="340"/>
      <c r="AU3" s="433"/>
      <c r="AV3" s="340"/>
      <c r="AW3" s="433"/>
      <c r="AX3" s="340"/>
      <c r="AY3" s="337"/>
      <c r="AZ3" s="338"/>
      <c r="BA3" s="338"/>
      <c r="BB3" s="338"/>
      <c r="BC3" s="338"/>
      <c r="BD3" s="338"/>
      <c r="BE3" s="583"/>
      <c r="BF3" s="532"/>
      <c r="BG3" s="340"/>
      <c r="BH3" s="342"/>
      <c r="BI3" s="340"/>
      <c r="BJ3" s="339"/>
      <c r="BK3" s="340"/>
      <c r="BL3" s="343"/>
      <c r="BM3" s="340"/>
      <c r="BN3" s="340"/>
      <c r="BO3" s="532"/>
      <c r="BP3" s="340"/>
      <c r="BQ3" s="342"/>
      <c r="BR3" s="340"/>
      <c r="BS3" s="339"/>
      <c r="BT3" s="340"/>
      <c r="BU3" s="343"/>
      <c r="BV3" s="341"/>
      <c r="BW3" s="338"/>
      <c r="BX3" s="532"/>
      <c r="BY3" s="340"/>
      <c r="BZ3" s="342"/>
      <c r="CA3" s="340"/>
      <c r="CB3" s="337"/>
      <c r="CC3" s="340"/>
      <c r="CD3" s="340"/>
      <c r="CE3" s="340"/>
      <c r="CF3" s="340"/>
      <c r="CG3" s="340"/>
      <c r="CH3" s="340"/>
      <c r="CI3" s="340"/>
      <c r="CJ3" s="340"/>
      <c r="CK3" s="340"/>
      <c r="CL3" s="338"/>
      <c r="CM3" s="338"/>
      <c r="CN3" s="338"/>
      <c r="CO3" s="337"/>
      <c r="CP3" s="337"/>
      <c r="CQ3" s="337"/>
      <c r="CR3" s="337"/>
      <c r="CS3" s="337"/>
      <c r="CT3" s="337"/>
      <c r="CU3" s="337"/>
      <c r="CV3" s="338"/>
      <c r="CW3" s="337"/>
      <c r="CX3" s="337"/>
      <c r="CY3" s="337"/>
      <c r="CZ3" s="337"/>
      <c r="DA3" s="337"/>
      <c r="DB3" s="337"/>
      <c r="DC3" s="337"/>
      <c r="DD3" s="337"/>
      <c r="DE3" s="340"/>
      <c r="DF3" s="340"/>
      <c r="DG3" s="340"/>
      <c r="DH3" s="340"/>
      <c r="DI3" s="340"/>
      <c r="DJ3" s="340"/>
      <c r="DK3" s="340"/>
      <c r="DL3" s="340"/>
      <c r="DM3" s="340"/>
      <c r="DN3" s="340"/>
      <c r="DO3" s="337"/>
      <c r="DP3" s="338"/>
      <c r="DQ3" s="338"/>
      <c r="DR3" s="338"/>
      <c r="DS3" s="338"/>
      <c r="DT3" s="338"/>
      <c r="DU3" s="338"/>
      <c r="DV3" s="338"/>
      <c r="DW3" s="338"/>
      <c r="DX3" s="338"/>
      <c r="DY3" s="338"/>
      <c r="DZ3" s="338"/>
      <c r="EA3" s="338"/>
      <c r="EB3" s="338"/>
      <c r="EC3" s="338"/>
      <c r="ED3" s="338"/>
      <c r="EE3" s="340"/>
      <c r="EF3" s="340"/>
      <c r="EG3" s="340"/>
      <c r="EH3" s="338"/>
      <c r="EI3" s="337"/>
      <c r="EJ3" s="337"/>
      <c r="EK3" s="338"/>
      <c r="EL3" s="337"/>
    </row>
    <row r="4" spans="1:142" s="615" customFormat="1" ht="14.5" customHeight="1" x14ac:dyDescent="0.25">
      <c r="A4" s="370"/>
      <c r="B4" s="371" t="str">
        <f>"# Registros COMPRAS : " &amp; COUNTIF(M:M,"&gt;0")</f>
        <v># Registros COMPRAS : 3</v>
      </c>
      <c r="C4" s="595" t="s">
        <v>1317</v>
      </c>
      <c r="D4" s="616"/>
      <c r="E4" s="617"/>
      <c r="F4" s="618" t="s">
        <v>1318</v>
      </c>
      <c r="G4" s="601"/>
      <c r="H4" s="601"/>
      <c r="I4" s="601"/>
      <c r="J4" s="601"/>
      <c r="K4" s="601"/>
      <c r="L4" s="619"/>
      <c r="M4" s="620"/>
      <c r="N4" s="595" t="s">
        <v>1319</v>
      </c>
      <c r="O4" s="601"/>
      <c r="P4" s="601"/>
      <c r="Q4" s="601"/>
      <c r="R4" s="616"/>
      <c r="T4" s="598"/>
      <c r="U4" s="599" t="s">
        <v>2039</v>
      </c>
      <c r="V4" s="537"/>
      <c r="W4" s="537"/>
      <c r="X4" s="634"/>
      <c r="Y4" s="842"/>
      <c r="Z4" s="843"/>
      <c r="AA4" s="634"/>
      <c r="AB4" s="842"/>
      <c r="AC4" s="843"/>
      <c r="AD4" s="634"/>
      <c r="AE4" s="842"/>
      <c r="AF4" s="843"/>
      <c r="AG4" s="537"/>
      <c r="AH4" s="621"/>
      <c r="AI4" s="621"/>
      <c r="AJ4" s="621"/>
      <c r="AL4" s="600"/>
      <c r="AN4" s="603"/>
      <c r="AO4" s="622" t="s">
        <v>2042</v>
      </c>
      <c r="AP4" s="623"/>
      <c r="AQ4" s="623"/>
      <c r="AR4" s="624"/>
      <c r="AS4" s="604" t="s">
        <v>2038</v>
      </c>
      <c r="AT4" s="537"/>
      <c r="AU4" s="605"/>
      <c r="AV4" s="537"/>
      <c r="AW4" s="605"/>
      <c r="AX4" s="600"/>
      <c r="AZ4" s="625" t="s">
        <v>2040</v>
      </c>
      <c r="BA4" s="601"/>
      <c r="BB4" s="601"/>
      <c r="BC4" s="601"/>
      <c r="BD4" s="601"/>
      <c r="BE4" s="626"/>
      <c r="BF4" s="627" t="s">
        <v>1320</v>
      </c>
      <c r="BG4" s="537"/>
      <c r="BH4" s="628"/>
      <c r="BI4" s="600"/>
      <c r="BJ4" s="629" t="s">
        <v>1321</v>
      </c>
      <c r="BK4" s="630"/>
      <c r="BL4" s="631"/>
      <c r="BM4" s="632" t="s">
        <v>1325</v>
      </c>
      <c r="BN4" s="633"/>
      <c r="BO4" s="627" t="s">
        <v>1322</v>
      </c>
      <c r="BP4" s="537"/>
      <c r="BQ4" s="628"/>
      <c r="BR4" s="600"/>
      <c r="BS4" s="629" t="s">
        <v>1323</v>
      </c>
      <c r="BT4" s="630"/>
      <c r="BU4" s="631"/>
      <c r="BV4" s="632" t="s">
        <v>1324</v>
      </c>
      <c r="BW4" s="633"/>
      <c r="BX4" s="627" t="s">
        <v>681</v>
      </c>
      <c r="BY4" s="537"/>
      <c r="BZ4" s="628"/>
      <c r="CA4" s="600"/>
      <c r="CC4" s="599" t="s">
        <v>2041</v>
      </c>
      <c r="CD4" s="537"/>
      <c r="CE4" s="537"/>
      <c r="CF4" s="537"/>
      <c r="CG4" s="537"/>
      <c r="CH4" s="537"/>
      <c r="CI4" s="537"/>
      <c r="CJ4" s="537"/>
      <c r="CK4" s="634" t="s">
        <v>682</v>
      </c>
      <c r="CL4" s="622" t="s">
        <v>2043</v>
      </c>
      <c r="CM4" s="623"/>
      <c r="CN4" s="623"/>
      <c r="CP4" s="635" t="s">
        <v>2044</v>
      </c>
      <c r="CQ4" s="636"/>
      <c r="CR4" s="637"/>
      <c r="CS4" s="613"/>
      <c r="CT4" s="608" t="s">
        <v>2212</v>
      </c>
      <c r="CU4" s="608" t="s">
        <v>2213</v>
      </c>
      <c r="CV4" s="608" t="s">
        <v>2214</v>
      </c>
      <c r="CW4" s="646" t="s">
        <v>2215</v>
      </c>
      <c r="CX4" s="646"/>
      <c r="CY4" s="646"/>
      <c r="CZ4" s="646"/>
      <c r="DA4" s="638"/>
      <c r="DB4" s="608" t="s">
        <v>682</v>
      </c>
      <c r="DC4" s="608" t="s">
        <v>682</v>
      </c>
      <c r="DD4" s="608" t="s">
        <v>682</v>
      </c>
      <c r="DE4" s="639" t="s">
        <v>682</v>
      </c>
      <c r="DF4" s="639" t="s">
        <v>682</v>
      </c>
      <c r="DG4" s="639" t="s">
        <v>682</v>
      </c>
      <c r="DH4" s="639" t="s">
        <v>682</v>
      </c>
      <c r="DI4" s="639" t="s">
        <v>682</v>
      </c>
      <c r="DJ4" s="639" t="s">
        <v>682</v>
      </c>
      <c r="DK4" s="639" t="s">
        <v>682</v>
      </c>
      <c r="DL4" s="639" t="s">
        <v>682</v>
      </c>
      <c r="DM4" s="639" t="s">
        <v>682</v>
      </c>
      <c r="DN4" s="639" t="s">
        <v>682</v>
      </c>
      <c r="DO4" s="638"/>
      <c r="DP4" s="603"/>
      <c r="DQ4" s="610"/>
      <c r="DR4" s="610"/>
      <c r="DS4" s="603"/>
      <c r="DT4" s="603"/>
      <c r="DU4" s="603"/>
      <c r="DV4" s="603"/>
      <c r="DW4" s="603"/>
      <c r="DX4" s="610"/>
      <c r="DY4" s="610"/>
      <c r="DZ4" s="610"/>
      <c r="EA4" s="603"/>
      <c r="EB4" s="603"/>
      <c r="EC4" s="603"/>
      <c r="ED4" s="603"/>
      <c r="EE4" s="345"/>
      <c r="EF4" s="327"/>
      <c r="EG4" s="327" t="s">
        <v>1955</v>
      </c>
      <c r="EH4" s="603"/>
      <c r="EI4" s="639" t="s">
        <v>682</v>
      </c>
      <c r="EJ4" s="638"/>
      <c r="EK4" s="598"/>
      <c r="EL4" s="613"/>
    </row>
    <row r="5" spans="1:142" s="351" customFormat="1" ht="16" customHeight="1" x14ac:dyDescent="0.25">
      <c r="A5" s="1286" t="s">
        <v>683</v>
      </c>
      <c r="B5" s="1284" t="s">
        <v>684</v>
      </c>
      <c r="C5" s="1288" t="s">
        <v>685</v>
      </c>
      <c r="D5" s="1284" t="s">
        <v>686</v>
      </c>
      <c r="E5" s="1288" t="s">
        <v>687</v>
      </c>
      <c r="F5" s="1288" t="s">
        <v>2198</v>
      </c>
      <c r="G5" s="1288" t="s">
        <v>688</v>
      </c>
      <c r="H5" s="1288" t="s">
        <v>689</v>
      </c>
      <c r="I5" s="1288" t="s">
        <v>690</v>
      </c>
      <c r="J5" s="1288" t="s">
        <v>691</v>
      </c>
      <c r="K5" s="1288" t="s">
        <v>692</v>
      </c>
      <c r="L5" s="1282" t="s">
        <v>693</v>
      </c>
      <c r="M5" s="1282" t="s">
        <v>1104</v>
      </c>
      <c r="N5" s="1284" t="s">
        <v>694</v>
      </c>
      <c r="O5" s="1288" t="s">
        <v>689</v>
      </c>
      <c r="P5" s="1288" t="s">
        <v>690</v>
      </c>
      <c r="Q5" s="1288" t="s">
        <v>695</v>
      </c>
      <c r="R5" s="1288" t="s">
        <v>696</v>
      </c>
      <c r="S5" s="816" t="s">
        <v>680</v>
      </c>
      <c r="T5" s="1292" t="s">
        <v>698</v>
      </c>
      <c r="U5" s="587">
        <f>SUBTOTAL(9,U$6:U954)</f>
        <v>0</v>
      </c>
      <c r="V5" s="587">
        <f>SUBTOTAL(9,V$6:V954)</f>
        <v>0</v>
      </c>
      <c r="W5" s="587">
        <f>SUBTOTAL(9,W$6:W954)</f>
        <v>0</v>
      </c>
      <c r="X5" s="587">
        <f>SUBTOTAL(9,X$6:X954)</f>
        <v>0</v>
      </c>
      <c r="Y5" s="1230" t="s">
        <v>2383</v>
      </c>
      <c r="Z5" s="817">
        <f>SUBTOTAL(9,Z$6:Z954)</f>
        <v>0</v>
      </c>
      <c r="AA5" s="587">
        <f>SUBTOTAL(9,AA$6:AA954)</f>
        <v>0</v>
      </c>
      <c r="AB5" s="1230" t="s">
        <v>2384</v>
      </c>
      <c r="AC5" s="817">
        <f>SUBTOTAL(9,AC$6:AC954)</f>
        <v>0</v>
      </c>
      <c r="AD5" s="587">
        <f>SUBTOTAL(9,AD$6:AD954)</f>
        <v>0</v>
      </c>
      <c r="AE5" s="1230" t="s">
        <v>2393</v>
      </c>
      <c r="AF5" s="817">
        <f>SUBTOTAL(9,AF$6:AF954)</f>
        <v>0</v>
      </c>
      <c r="AG5" s="587">
        <f>SUBTOTAL(9,AG$6:AG954)</f>
        <v>0</v>
      </c>
      <c r="AH5" s="587">
        <f>SUBTOTAL(9,AH$6:AH954)</f>
        <v>0</v>
      </c>
      <c r="AI5" s="587">
        <f>SUBTOTAL(9,AI$6:AI954)</f>
        <v>0</v>
      </c>
      <c r="AJ5" s="587">
        <f>SUBTOTAL(9,AJ$6:AJ954)</f>
        <v>0</v>
      </c>
      <c r="AK5" s="587">
        <f>SUBTOTAL(9,AK$6:AK954)</f>
        <v>0</v>
      </c>
      <c r="AL5" s="587">
        <f>SUBTOTAL(9,AL$6:AL954)</f>
        <v>0</v>
      </c>
      <c r="AM5" s="538"/>
      <c r="AN5" s="1290" t="s">
        <v>1619</v>
      </c>
      <c r="AO5" s="1236" t="s">
        <v>2052</v>
      </c>
      <c r="AP5" s="1236"/>
      <c r="AQ5" s="1236"/>
      <c r="AR5" s="1245" t="s">
        <v>2207</v>
      </c>
      <c r="AS5" s="1243" t="s">
        <v>2045</v>
      </c>
      <c r="AT5" s="588">
        <f>SUBTOTAL(9,AT$6:AT954)</f>
        <v>0</v>
      </c>
      <c r="AU5" s="1243" t="s">
        <v>2046</v>
      </c>
      <c r="AV5" s="588">
        <f>SUBTOTAL(9,AV$6:AV954)</f>
        <v>0</v>
      </c>
      <c r="AW5" s="1243" t="s">
        <v>2047</v>
      </c>
      <c r="AX5" s="588">
        <f>SUBTOTAL(9,AX$6:AX954)</f>
        <v>0</v>
      </c>
      <c r="AY5" s="538"/>
      <c r="AZ5" s="1239" t="s">
        <v>1093</v>
      </c>
      <c r="BA5" s="1241" t="s">
        <v>2048</v>
      </c>
      <c r="BB5" s="1241" t="s">
        <v>2049</v>
      </c>
      <c r="BC5" s="1241" t="s">
        <v>2050</v>
      </c>
      <c r="BD5" s="1241" t="s">
        <v>2051</v>
      </c>
      <c r="BE5" s="1237" t="s">
        <v>708</v>
      </c>
      <c r="BF5" s="1232" t="s">
        <v>709</v>
      </c>
      <c r="BG5" s="817">
        <f>SUBTOTAL(9,BG$6:BG698)</f>
        <v>0</v>
      </c>
      <c r="BH5" s="1234" t="s">
        <v>711</v>
      </c>
      <c r="BI5" s="817">
        <f>SUBTOTAL(9,BI$6:BI698)</f>
        <v>0</v>
      </c>
      <c r="BJ5" s="1249" t="s">
        <v>713</v>
      </c>
      <c r="BK5" s="817">
        <f>SUBTOTAL(9,BK$6:BK698)</f>
        <v>0</v>
      </c>
      <c r="BL5" s="1251" t="s">
        <v>715</v>
      </c>
      <c r="BM5" s="1253" t="s">
        <v>716</v>
      </c>
      <c r="BN5" s="1255" t="s">
        <v>717</v>
      </c>
      <c r="BO5" s="1257" t="s">
        <v>718</v>
      </c>
      <c r="BP5" s="818">
        <f>SUBTOTAL(9,BP$6:BP698)</f>
        <v>0</v>
      </c>
      <c r="BQ5" s="1261" t="s">
        <v>720</v>
      </c>
      <c r="BR5" s="822">
        <f>SUBTOTAL(9,BR$6:BR698)</f>
        <v>0</v>
      </c>
      <c r="BS5" s="1263" t="s">
        <v>1091</v>
      </c>
      <c r="BT5" s="821">
        <f>SUBTOTAL(9,BT$6:BT698)</f>
        <v>0</v>
      </c>
      <c r="BU5" s="1251" t="s">
        <v>715</v>
      </c>
      <c r="BV5" s="1253" t="s">
        <v>716</v>
      </c>
      <c r="BW5" s="1253" t="s">
        <v>717</v>
      </c>
      <c r="BX5" s="1232" t="s">
        <v>722</v>
      </c>
      <c r="BY5" s="818">
        <f>SUBTOTAL(9,BY$6:BY698)</f>
        <v>0</v>
      </c>
      <c r="BZ5" s="1261" t="s">
        <v>724</v>
      </c>
      <c r="CA5" s="819">
        <f>SUBTOTAL(9,CA$6:CA698)</f>
        <v>0</v>
      </c>
      <c r="CB5" s="538"/>
      <c r="CC5" s="587">
        <f>SUBTOTAL(9,CC$6:CC698)</f>
        <v>0</v>
      </c>
      <c r="CD5" s="587">
        <f>SUBTOTAL(9,CD$6:CD698)</f>
        <v>0</v>
      </c>
      <c r="CE5" s="587">
        <f>SUBTOTAL(9,CE$6:CE698)</f>
        <v>0</v>
      </c>
      <c r="CF5" s="587">
        <f>SUBTOTAL(9,CF$6:CF698)</f>
        <v>0</v>
      </c>
      <c r="CG5" s="587">
        <f>SUBTOTAL(9,CG$6:CG698)</f>
        <v>0</v>
      </c>
      <c r="CH5" s="587">
        <f>SUBTOTAL(9,CH$6:CH698)</f>
        <v>0</v>
      </c>
      <c r="CI5" s="587">
        <f>SUBTOTAL(9,CI$6:CI698)</f>
        <v>0</v>
      </c>
      <c r="CJ5" s="587">
        <f>SUBTOTAL(9,CJ$6:CJ698)</f>
        <v>0</v>
      </c>
      <c r="CK5" s="587">
        <f>SUBTOTAL(9,CK$6:CK698)</f>
        <v>0</v>
      </c>
      <c r="CL5" s="1236" t="s">
        <v>2054</v>
      </c>
      <c r="CM5" s="1236"/>
      <c r="CN5" s="1236"/>
      <c r="CO5" s="538"/>
      <c r="CP5" s="1265" t="s">
        <v>733</v>
      </c>
      <c r="CQ5" s="1247" t="s">
        <v>734</v>
      </c>
      <c r="CR5" s="1247" t="s">
        <v>735</v>
      </c>
      <c r="CS5" s="1247" t="s">
        <v>736</v>
      </c>
      <c r="CT5" s="1247" t="s">
        <v>737</v>
      </c>
      <c r="CU5" s="1247" t="s">
        <v>1533</v>
      </c>
      <c r="CV5" s="1242" t="s">
        <v>738</v>
      </c>
      <c r="CW5" s="1247" t="s">
        <v>739</v>
      </c>
      <c r="CX5" s="1247" t="s">
        <v>740</v>
      </c>
      <c r="CY5" s="1247" t="s">
        <v>741</v>
      </c>
      <c r="CZ5" s="1294" t="s">
        <v>742</v>
      </c>
      <c r="DA5" s="844"/>
      <c r="DB5" s="1296" t="s">
        <v>1236</v>
      </c>
      <c r="DC5" s="1298" t="s">
        <v>1315</v>
      </c>
      <c r="DD5" s="1298" t="s">
        <v>1282</v>
      </c>
      <c r="DE5" s="1259" t="s">
        <v>743</v>
      </c>
      <c r="DF5" s="1259" t="s">
        <v>744</v>
      </c>
      <c r="DG5" s="1259" t="s">
        <v>745</v>
      </c>
      <c r="DH5" s="1259" t="s">
        <v>2191</v>
      </c>
      <c r="DI5" s="1259" t="s">
        <v>2192</v>
      </c>
      <c r="DJ5" s="1259" t="s">
        <v>2193</v>
      </c>
      <c r="DK5" s="1259" t="s">
        <v>2194</v>
      </c>
      <c r="DL5" s="1259" t="s">
        <v>2197</v>
      </c>
      <c r="DM5" s="1259" t="s">
        <v>2196</v>
      </c>
      <c r="DN5" s="1268" t="s">
        <v>2195</v>
      </c>
      <c r="DO5" s="844"/>
      <c r="DP5" s="1274" t="s">
        <v>2036</v>
      </c>
      <c r="DQ5" s="1274"/>
      <c r="DR5" s="1274"/>
      <c r="DS5" s="1274"/>
      <c r="DT5" s="1274"/>
      <c r="DU5" s="1274"/>
      <c r="DV5" s="1274"/>
      <c r="DW5" s="1275" t="s">
        <v>2037</v>
      </c>
      <c r="DX5" s="1276"/>
      <c r="DY5" s="1276"/>
      <c r="DZ5" s="1276"/>
      <c r="EA5" s="1276"/>
      <c r="EB5" s="1276"/>
      <c r="EC5" s="1276"/>
      <c r="ED5" s="1277"/>
      <c r="EE5" s="1278" t="s">
        <v>1624</v>
      </c>
      <c r="EF5" s="1278" t="s">
        <v>1953</v>
      </c>
      <c r="EG5" s="1278" t="s">
        <v>1950</v>
      </c>
      <c r="EH5" s="1280" t="s">
        <v>1838</v>
      </c>
      <c r="EI5" s="1270" t="s">
        <v>747</v>
      </c>
      <c r="EJ5" s="844"/>
      <c r="EK5" s="1272" t="s">
        <v>746</v>
      </c>
      <c r="EL5" s="534"/>
    </row>
    <row r="6" spans="1:142" s="536" customFormat="1" ht="47.15" customHeight="1" x14ac:dyDescent="0.35">
      <c r="A6" s="1287"/>
      <c r="B6" s="1285"/>
      <c r="C6" s="1289"/>
      <c r="D6" s="1285"/>
      <c r="E6" s="1289"/>
      <c r="F6" s="1289"/>
      <c r="G6" s="1289"/>
      <c r="H6" s="1289"/>
      <c r="I6" s="1289"/>
      <c r="J6" s="1289"/>
      <c r="K6" s="1289"/>
      <c r="L6" s="1283"/>
      <c r="M6" s="1283"/>
      <c r="N6" s="1285"/>
      <c r="O6" s="1289"/>
      <c r="P6" s="1289"/>
      <c r="Q6" s="1289"/>
      <c r="R6" s="1289"/>
      <c r="S6" s="845" t="s">
        <v>697</v>
      </c>
      <c r="T6" s="1293"/>
      <c r="U6" s="846" t="s">
        <v>699</v>
      </c>
      <c r="V6" s="840" t="s">
        <v>1314</v>
      </c>
      <c r="W6" s="840" t="s">
        <v>701</v>
      </c>
      <c r="X6" s="841" t="s">
        <v>2415</v>
      </c>
      <c r="Y6" s="1231"/>
      <c r="Z6" s="862" t="s">
        <v>2416</v>
      </c>
      <c r="AA6" s="841" t="s">
        <v>2417</v>
      </c>
      <c r="AB6" s="1231"/>
      <c r="AC6" s="862" t="s">
        <v>2418</v>
      </c>
      <c r="AD6" s="841" t="s">
        <v>2419</v>
      </c>
      <c r="AE6" s="1231"/>
      <c r="AF6" s="862" t="s">
        <v>2420</v>
      </c>
      <c r="AG6" s="840" t="s">
        <v>1312</v>
      </c>
      <c r="AH6" s="840" t="s">
        <v>1235</v>
      </c>
      <c r="AI6" s="840" t="s">
        <v>1965</v>
      </c>
      <c r="AJ6" s="840" t="s">
        <v>1966</v>
      </c>
      <c r="AK6" s="840" t="s">
        <v>706</v>
      </c>
      <c r="AL6" s="841" t="s">
        <v>1311</v>
      </c>
      <c r="AM6" s="538"/>
      <c r="AN6" s="1291"/>
      <c r="AO6" s="589" t="s">
        <v>1898</v>
      </c>
      <c r="AP6" s="590" t="s">
        <v>1897</v>
      </c>
      <c r="AQ6" s="589" t="s">
        <v>1899</v>
      </c>
      <c r="AR6" s="1246"/>
      <c r="AS6" s="1244"/>
      <c r="AT6" s="590" t="s">
        <v>707</v>
      </c>
      <c r="AU6" s="1244"/>
      <c r="AV6" s="590" t="s">
        <v>707</v>
      </c>
      <c r="AW6" s="1244"/>
      <c r="AX6" s="590" t="s">
        <v>707</v>
      </c>
      <c r="AY6" s="538"/>
      <c r="AZ6" s="1240"/>
      <c r="BA6" s="1242"/>
      <c r="BB6" s="1242"/>
      <c r="BC6" s="1242"/>
      <c r="BD6" s="1242"/>
      <c r="BE6" s="1238"/>
      <c r="BF6" s="1233"/>
      <c r="BG6" s="847" t="s">
        <v>710</v>
      </c>
      <c r="BH6" s="1235"/>
      <c r="BI6" s="847" t="s">
        <v>712</v>
      </c>
      <c r="BJ6" s="1250"/>
      <c r="BK6" s="847" t="s">
        <v>714</v>
      </c>
      <c r="BL6" s="1252"/>
      <c r="BM6" s="1254"/>
      <c r="BN6" s="1256"/>
      <c r="BO6" s="1258"/>
      <c r="BP6" s="848" t="s">
        <v>719</v>
      </c>
      <c r="BQ6" s="1262"/>
      <c r="BR6" s="849" t="s">
        <v>721</v>
      </c>
      <c r="BS6" s="1264"/>
      <c r="BT6" s="850" t="s">
        <v>1092</v>
      </c>
      <c r="BU6" s="1252"/>
      <c r="BV6" s="1254"/>
      <c r="BW6" s="1254"/>
      <c r="BX6" s="1233"/>
      <c r="BY6" s="848" t="s">
        <v>723</v>
      </c>
      <c r="BZ6" s="1262"/>
      <c r="CA6" s="820" t="s">
        <v>725</v>
      </c>
      <c r="CB6" s="538"/>
      <c r="CC6" s="846" t="s">
        <v>726</v>
      </c>
      <c r="CD6" s="840" t="s">
        <v>727</v>
      </c>
      <c r="CE6" s="840" t="s">
        <v>728</v>
      </c>
      <c r="CF6" s="840" t="s">
        <v>729</v>
      </c>
      <c r="CG6" s="840" t="s">
        <v>730</v>
      </c>
      <c r="CH6" s="840" t="s">
        <v>731</v>
      </c>
      <c r="CI6" s="840" t="s">
        <v>1964</v>
      </c>
      <c r="CJ6" s="840" t="s">
        <v>1534</v>
      </c>
      <c r="CK6" s="841" t="s">
        <v>732</v>
      </c>
      <c r="CL6" s="589" t="s">
        <v>1898</v>
      </c>
      <c r="CM6" s="590" t="s">
        <v>1897</v>
      </c>
      <c r="CN6" s="589" t="s">
        <v>1899</v>
      </c>
      <c r="CO6" s="538"/>
      <c r="CP6" s="1266"/>
      <c r="CQ6" s="1248"/>
      <c r="CR6" s="1248"/>
      <c r="CS6" s="1248"/>
      <c r="CT6" s="1248"/>
      <c r="CU6" s="1248"/>
      <c r="CV6" s="1267"/>
      <c r="CW6" s="1248"/>
      <c r="CX6" s="1248"/>
      <c r="CY6" s="1248"/>
      <c r="CZ6" s="1295"/>
      <c r="DA6" s="539"/>
      <c r="DB6" s="1297"/>
      <c r="DC6" s="1299"/>
      <c r="DD6" s="1299"/>
      <c r="DE6" s="1260"/>
      <c r="DF6" s="1260"/>
      <c r="DG6" s="1260"/>
      <c r="DH6" s="1260"/>
      <c r="DI6" s="1260"/>
      <c r="DJ6" s="1260"/>
      <c r="DK6" s="1260"/>
      <c r="DL6" s="1260"/>
      <c r="DM6" s="1260"/>
      <c r="DN6" s="1269"/>
      <c r="DO6" s="539"/>
      <c r="DP6" s="591" t="s">
        <v>1951</v>
      </c>
      <c r="DQ6" s="591" t="s">
        <v>1580</v>
      </c>
      <c r="DR6" s="591" t="s">
        <v>1620</v>
      </c>
      <c r="DS6" s="591" t="s">
        <v>1949</v>
      </c>
      <c r="DT6" s="591" t="s">
        <v>1948</v>
      </c>
      <c r="DU6" s="591" t="s">
        <v>2058</v>
      </c>
      <c r="DV6" s="591" t="s">
        <v>1959</v>
      </c>
      <c r="DW6" s="591" t="s">
        <v>1951</v>
      </c>
      <c r="DX6" s="591" t="s">
        <v>1621</v>
      </c>
      <c r="DY6" s="591" t="s">
        <v>1622</v>
      </c>
      <c r="DZ6" s="591" t="s">
        <v>1623</v>
      </c>
      <c r="EA6" s="591" t="s">
        <v>1956</v>
      </c>
      <c r="EB6" s="591" t="s">
        <v>1957</v>
      </c>
      <c r="EC6" s="591" t="s">
        <v>2057</v>
      </c>
      <c r="ED6" s="591" t="s">
        <v>1958</v>
      </c>
      <c r="EE6" s="1279"/>
      <c r="EF6" s="1279"/>
      <c r="EG6" s="1279"/>
      <c r="EH6" s="1281"/>
      <c r="EI6" s="1271"/>
      <c r="EJ6" s="539"/>
      <c r="EK6" s="1273"/>
      <c r="EL6" s="535"/>
    </row>
    <row r="7" spans="1:142" x14ac:dyDescent="0.25">
      <c r="A7" s="863"/>
      <c r="B7" s="434" t="s">
        <v>2404</v>
      </c>
      <c r="C7" s="863"/>
      <c r="D7" s="434"/>
      <c r="E7" s="864" t="s">
        <v>748</v>
      </c>
      <c r="F7" s="434"/>
      <c r="G7" s="863" t="s">
        <v>1035</v>
      </c>
      <c r="H7" s="864" t="s">
        <v>8</v>
      </c>
      <c r="I7" s="864" t="s">
        <v>8</v>
      </c>
      <c r="J7" s="863"/>
      <c r="K7" s="863"/>
      <c r="L7" s="865">
        <v>45462</v>
      </c>
      <c r="M7" s="865">
        <v>45462</v>
      </c>
      <c r="N7" s="434"/>
      <c r="O7" s="864"/>
      <c r="P7" s="864"/>
      <c r="Q7" s="863"/>
      <c r="R7" s="863"/>
      <c r="S7" s="863"/>
      <c r="T7" s="863" t="s">
        <v>43</v>
      </c>
      <c r="U7" s="866">
        <v>0</v>
      </c>
      <c r="V7" s="866">
        <v>0</v>
      </c>
      <c r="W7" s="866">
        <v>0</v>
      </c>
      <c r="X7" s="866">
        <v>0</v>
      </c>
      <c r="Y7" s="866">
        <v>15</v>
      </c>
      <c r="Z7" s="866">
        <f>ROUND(X7*Y7%,2)</f>
        <v>0</v>
      </c>
      <c r="AA7" s="866"/>
      <c r="AB7" s="866">
        <v>5</v>
      </c>
      <c r="AC7" s="866">
        <f>ROUND(AA7*AB7%,2)</f>
        <v>0</v>
      </c>
      <c r="AD7" s="866"/>
      <c r="AE7" s="866">
        <v>8</v>
      </c>
      <c r="AF7" s="866">
        <f>ROUND(AD7*AE7%,2)</f>
        <v>0</v>
      </c>
      <c r="AG7" s="866">
        <v>0</v>
      </c>
      <c r="AH7" s="866">
        <v>0</v>
      </c>
      <c r="AI7" s="866">
        <v>0</v>
      </c>
      <c r="AJ7" s="866">
        <v>0</v>
      </c>
      <c r="AK7" s="866">
        <f>ROUND(SUM(U7:X7)+SUM(Z7:AA7)+SUM(AC7:AD7)+SUM(AF7:AJ7),2)</f>
        <v>0</v>
      </c>
      <c r="AL7" s="866">
        <v>0</v>
      </c>
      <c r="AM7" s="434"/>
      <c r="AN7" s="863"/>
      <c r="AO7" s="863"/>
      <c r="AP7" s="863"/>
      <c r="AQ7" s="863"/>
      <c r="AR7" s="434" t="s">
        <v>1295</v>
      </c>
      <c r="AS7" s="867">
        <v>510</v>
      </c>
      <c r="AT7" s="866">
        <f>IF(OR(AS7=545, AS7=518),($AK7-$Z7-$AC7-$AF7),IF(AND(AS7&gt;515,AS7&lt;518),($W7),IF(AND(AS7&gt;509,AS7&lt;516),$X7,IF(AS7=541,$U7,IF(AS7=542,$V7+SUM($AG7:$AJ7),IF(AS7=533,$AD7,IF(AS7=550,$AA7,0)))))))</f>
        <v>0</v>
      </c>
      <c r="AU7" s="867">
        <v>517</v>
      </c>
      <c r="AV7" s="866">
        <f>IF(OR(AU7=545, AU7=518),($AK7-$Z7-$AC7-$AF7),IF(AND(AU7&gt;515,AU7&lt;518),($W7),IF(AND(AU7&gt;509,AU7&lt;516),$X7,IF(AU7=541,$U7,IF(AU7=542,$V7+SUM($AG7:$AJ7),IF(AU7=533,$AD7,IF(AU7=550,$AA7,0)))))))</f>
        <v>0</v>
      </c>
      <c r="AW7" s="867">
        <v>542</v>
      </c>
      <c r="AX7" s="866">
        <f>IF(OR(AW7=545, AW7=518),($AK7-$Z7-$AC7-$AF7),IF(AND(AW7&gt;515,AW7&lt;518),($W7),IF(AND(AW7&gt;509,AW7&lt;516),$X7,IF(AW7=541,$U7,IF(AW7=542,$V7+SUM($AG7:$AJ7),IF(AW7=533,$AD7,IF(AW7=550,$AA7,0)))))))</f>
        <v>0</v>
      </c>
      <c r="AY7" s="434"/>
      <c r="AZ7" s="866"/>
      <c r="BA7" s="864"/>
      <c r="BB7" s="864"/>
      <c r="BC7" s="863"/>
      <c r="BD7" s="863"/>
      <c r="BE7" s="868"/>
      <c r="BF7" s="869"/>
      <c r="BG7" s="866">
        <f>SUM(U7:X7)-V7+AA7+AD7</f>
        <v>0</v>
      </c>
      <c r="BH7" s="870">
        <f>IF(ISERROR(VLOOKUP(BF7,Parametros!$C:$J,8,0)),0,VLOOKUP(BF7,Parametros!$C:$J,8,0))</f>
        <v>0</v>
      </c>
      <c r="BI7" s="866">
        <f>IF(ISERROR(ROUND((BG7*BH7),2)),0,ROUND((BG7*BH7),2))</f>
        <v>0</v>
      </c>
      <c r="BJ7" s="871"/>
      <c r="BK7" s="866">
        <v>0</v>
      </c>
      <c r="BL7" s="434"/>
      <c r="BM7" s="866">
        <v>0</v>
      </c>
      <c r="BN7" s="866">
        <v>0</v>
      </c>
      <c r="BO7" s="869"/>
      <c r="BP7" s="866">
        <f>SUM(U7:X7)-V7+AA7+AD7-BG7</f>
        <v>0</v>
      </c>
      <c r="BQ7" s="870">
        <f>IF(ISERROR(VLOOKUP(BO7,Parametros!$C:$J,8,0)),0,VLOOKUP(BO7,Parametros!$C:$J,8,0))</f>
        <v>0</v>
      </c>
      <c r="BR7" s="866">
        <f>IF(ISERROR(ROUND((BP7*BQ7),2)),0,ROUND((BP7*BQ7),2))</f>
        <v>0</v>
      </c>
      <c r="BS7" s="871"/>
      <c r="BT7" s="866">
        <v>0</v>
      </c>
      <c r="BU7" s="434"/>
      <c r="BV7" s="866">
        <v>0</v>
      </c>
      <c r="BW7" s="866">
        <v>0</v>
      </c>
      <c r="BX7" s="869"/>
      <c r="BY7" s="866">
        <f>SUM(U7:X7)-V7+AA7+AD7-BG7-BP7</f>
        <v>0</v>
      </c>
      <c r="BZ7" s="870">
        <f>IF(ISERROR(VLOOKUP(BX7,Parametros!$C:$J,8,0)),0,VLOOKUP(BX7,Parametros!$C:$J,8,0))</f>
        <v>0</v>
      </c>
      <c r="CA7" s="866">
        <f>IF(ISERROR(ROUND((BY7*BZ7),2)),0,ROUND((BY7*BZ7),2))</f>
        <v>0</v>
      </c>
      <c r="CB7" s="434"/>
      <c r="CC7" s="866">
        <v>0</v>
      </c>
      <c r="CD7" s="866">
        <v>0</v>
      </c>
      <c r="CE7" s="866">
        <v>0</v>
      </c>
      <c r="CF7" s="866">
        <v>0</v>
      </c>
      <c r="CG7" s="866">
        <v>0</v>
      </c>
      <c r="CH7" s="866">
        <v>0</v>
      </c>
      <c r="CI7" s="866">
        <v>0</v>
      </c>
      <c r="CJ7" s="866">
        <v>0</v>
      </c>
      <c r="CK7" s="866">
        <f>+BI7+BR7+CA7+SUM(CC7:CJ7)</f>
        <v>0</v>
      </c>
      <c r="CL7" s="863"/>
      <c r="CM7" s="863"/>
      <c r="CN7" s="863"/>
      <c r="CO7" s="434"/>
      <c r="CP7" s="434" t="s">
        <v>2399</v>
      </c>
      <c r="CQ7" s="434"/>
      <c r="CR7" s="434"/>
      <c r="CS7" s="434" t="s">
        <v>2400</v>
      </c>
      <c r="CT7" s="434"/>
      <c r="CU7" s="434"/>
      <c r="CV7" s="863"/>
      <c r="CW7" s="434"/>
      <c r="CX7" s="867"/>
      <c r="CY7" s="867"/>
      <c r="CZ7" s="867"/>
      <c r="DA7" s="434"/>
      <c r="DB7" s="867">
        <f>IF(ISNUMBER(M7),MONTH(M7),0)</f>
        <v>6</v>
      </c>
      <c r="DC7" s="872" t="str">
        <f>IF(ISNUMBER(M7),IF(ISERROR(HLOOKUP(MONTH(M7),meses_104,1,0)),"NO","SI"),"NO")</f>
        <v>NO</v>
      </c>
      <c r="DD7" s="872" t="str">
        <f>IF(ISNUMBER(M7),IF(ISERROR(HLOOKUP(MONTH(M7),meses_103,1,0)),"NO","SI"),"NO")</f>
        <v>NO</v>
      </c>
      <c r="DE7" s="866">
        <f>IF(ISBLANK(G7),0,IF(VALUE(LEFT(G7,2))=4,0,AT7))</f>
        <v>0</v>
      </c>
      <c r="DF7" s="866">
        <f>IF(ISBLANK(G7),0,IF(VALUE(LEFT(G7,2))=4,0,AV7))</f>
        <v>0</v>
      </c>
      <c r="DG7" s="866">
        <f>IF(ISBLANK(G7),0,IF(VALUE(LEFT(G7,2))=4,0,AX7))</f>
        <v>0</v>
      </c>
      <c r="DH7" s="866">
        <f>SUM(U7:W7)+SUM(AG7:AJ7)</f>
        <v>0</v>
      </c>
      <c r="DI7" s="866">
        <f>ROUND((IF(AS7=545,(Z7+AC7+AF7),0)+IF(AU7=545,(Z7+AC7+AF7),0)+IF(AW7=545,(Z7+AC7+AF7),0)),2)</f>
        <v>0</v>
      </c>
      <c r="DJ7" s="866">
        <f>ROUND((IF(AS7=512,Z7,0)+IF(AU7=512,Z7,0)+IF(AW7=512,Z7,0)),2)</f>
        <v>0</v>
      </c>
      <c r="DK7" s="866">
        <f>Z7+AC7+AF7-DI7-DJ7</f>
        <v>0</v>
      </c>
      <c r="DL7" s="866">
        <f>SUM(CC7:CH7)+CJ7</f>
        <v>0</v>
      </c>
      <c r="DM7" s="866">
        <f>CI7</f>
        <v>0</v>
      </c>
      <c r="DN7" s="866">
        <f>BI7+BR7+CA7</f>
        <v>0</v>
      </c>
      <c r="DO7" s="434"/>
      <c r="DP7" s="863"/>
      <c r="DQ7" s="864" t="s">
        <v>2401</v>
      </c>
      <c r="DR7" s="864" t="s">
        <v>2402</v>
      </c>
      <c r="DS7" s="863"/>
      <c r="DT7" s="863"/>
      <c r="DU7" s="863"/>
      <c r="DV7" s="863"/>
      <c r="DW7" s="863"/>
      <c r="DX7" s="864" t="s">
        <v>1559</v>
      </c>
      <c r="DY7" s="864" t="s">
        <v>2403</v>
      </c>
      <c r="DZ7" s="864"/>
      <c r="EA7" s="863"/>
      <c r="EB7" s="863"/>
      <c r="EC7" s="863"/>
      <c r="ED7" s="863"/>
      <c r="EE7" s="866">
        <v>0</v>
      </c>
      <c r="EF7" s="866">
        <v>0</v>
      </c>
      <c r="EG7" s="866">
        <v>0</v>
      </c>
      <c r="EH7" s="863"/>
      <c r="EI7" s="434"/>
      <c r="EJ7" s="434"/>
      <c r="EK7" s="863"/>
    </row>
    <row r="8" spans="1:142" x14ac:dyDescent="0.25">
      <c r="A8" s="863"/>
      <c r="B8" s="434" t="s">
        <v>2404</v>
      </c>
      <c r="C8" s="863"/>
      <c r="D8" s="434"/>
      <c r="E8" s="864" t="s">
        <v>748</v>
      </c>
      <c r="F8" s="434"/>
      <c r="G8" s="863" t="s">
        <v>1035</v>
      </c>
      <c r="H8" s="864" t="s">
        <v>8</v>
      </c>
      <c r="I8" s="864" t="s">
        <v>8</v>
      </c>
      <c r="J8" s="863"/>
      <c r="K8" s="863"/>
      <c r="L8" s="865">
        <v>45462</v>
      </c>
      <c r="M8" s="865">
        <v>45462</v>
      </c>
      <c r="N8" s="434"/>
      <c r="O8" s="864"/>
      <c r="P8" s="864"/>
      <c r="Q8" s="863"/>
      <c r="R8" s="863"/>
      <c r="S8" s="863"/>
      <c r="T8" s="863" t="s">
        <v>43</v>
      </c>
      <c r="U8" s="866">
        <v>0</v>
      </c>
      <c r="V8" s="866">
        <v>0</v>
      </c>
      <c r="W8" s="866">
        <v>0</v>
      </c>
      <c r="X8" s="866">
        <v>0</v>
      </c>
      <c r="Y8" s="866">
        <v>15</v>
      </c>
      <c r="Z8" s="866">
        <f t="shared" ref="Z8:Z9" si="0">ROUND(X8*Y8%,2)</f>
        <v>0</v>
      </c>
      <c r="AA8" s="866"/>
      <c r="AB8" s="866">
        <v>5</v>
      </c>
      <c r="AC8" s="866">
        <f t="shared" ref="AC8:AC9" si="1">ROUND(AA8*AB8%,2)</f>
        <v>0</v>
      </c>
      <c r="AD8" s="866"/>
      <c r="AE8" s="866">
        <v>8</v>
      </c>
      <c r="AF8" s="866">
        <f t="shared" ref="AF8:AF9" si="2">ROUND(AD8*AE8%,2)</f>
        <v>0</v>
      </c>
      <c r="AG8" s="866">
        <v>0</v>
      </c>
      <c r="AH8" s="866">
        <v>0</v>
      </c>
      <c r="AI8" s="866">
        <v>0</v>
      </c>
      <c r="AJ8" s="866">
        <v>0</v>
      </c>
      <c r="AK8" s="866">
        <f t="shared" ref="AK8:AK9" si="3">ROUND(SUM(U8:X8)+SUM(Z8:AA8)+SUM(AC8:AD8)+SUM(AF8:AJ8),2)</f>
        <v>0</v>
      </c>
      <c r="AL8" s="866">
        <v>0</v>
      </c>
      <c r="AM8" s="434"/>
      <c r="AN8" s="863"/>
      <c r="AO8" s="863"/>
      <c r="AP8" s="863"/>
      <c r="AQ8" s="863"/>
      <c r="AR8" s="434" t="s">
        <v>1295</v>
      </c>
      <c r="AS8" s="867">
        <v>510</v>
      </c>
      <c r="AT8" s="866">
        <f t="shared" ref="AT8:AT9" si="4">IF(OR(AS8=545, AS8=518),($AK8-$Z8-$AC8-$AF8),IF(AND(AS8&gt;515,AS8&lt;518),($W8),IF(AND(AS8&gt;509,AS8&lt;516),$X8,IF(AS8=541,$U8,IF(AS8=542,$V8+SUM($AG8:$AJ8),IF(AS8=533,$AD8,IF(AS8=550,$AA8,0)))))))</f>
        <v>0</v>
      </c>
      <c r="AU8" s="867">
        <v>517</v>
      </c>
      <c r="AV8" s="866">
        <f t="shared" ref="AV8:AV9" si="5">IF(OR(AU8=545, AU8=518),($AK8-$Z8-$AC8-$AF8),IF(AND(AU8&gt;515,AU8&lt;518),($W8),IF(AND(AU8&gt;509,AU8&lt;516),$X8,IF(AU8=541,$U8,IF(AU8=542,$V8+SUM($AG8:$AJ8),IF(AU8=533,$AD8,IF(AU8=550,$AA8,0)))))))</f>
        <v>0</v>
      </c>
      <c r="AW8" s="867">
        <v>542</v>
      </c>
      <c r="AX8" s="866">
        <f t="shared" ref="AX8:AX9" si="6">IF(OR(AW8=545, AW8=518),($AK8-$Z8-$AC8-$AF8),IF(AND(AW8&gt;515,AW8&lt;518),($W8),IF(AND(AW8&gt;509,AW8&lt;516),$X8,IF(AW8=541,$U8,IF(AW8=542,$V8+SUM($AG8:$AJ8),IF(AW8=533,$AD8,IF(AW8=550,$AA8,0)))))))</f>
        <v>0</v>
      </c>
      <c r="AY8" s="434"/>
      <c r="AZ8" s="866"/>
      <c r="BA8" s="864"/>
      <c r="BB8" s="864"/>
      <c r="BC8" s="863"/>
      <c r="BD8" s="863"/>
      <c r="BE8" s="868"/>
      <c r="BF8" s="869"/>
      <c r="BG8" s="866">
        <f t="shared" ref="BG8:BG9" si="7">SUM(U8:X8)-V8+AA8+AD8</f>
        <v>0</v>
      </c>
      <c r="BH8" s="870">
        <f>IF(ISERROR(VLOOKUP(BF8,Parametros!$C:$J,8,0)),0,VLOOKUP(BF8,Parametros!$C:$J,8,0))</f>
        <v>0</v>
      </c>
      <c r="BI8" s="866">
        <f t="shared" ref="BI8:BI9" si="8">IF(ISERROR(ROUND((BG8*BH8),2)),0,ROUND((BG8*BH8),2))</f>
        <v>0</v>
      </c>
      <c r="BJ8" s="871"/>
      <c r="BK8" s="866">
        <v>0</v>
      </c>
      <c r="BL8" s="434"/>
      <c r="BM8" s="866">
        <v>0</v>
      </c>
      <c r="BN8" s="866">
        <v>0</v>
      </c>
      <c r="BO8" s="869"/>
      <c r="BP8" s="866">
        <f t="shared" ref="BP8:BP9" si="9">SUM(U8:X8)-V8+AA8+AD8-BG8</f>
        <v>0</v>
      </c>
      <c r="BQ8" s="870">
        <f>IF(ISERROR(VLOOKUP(BO8,Parametros!$C:$J,8,0)),0,VLOOKUP(BO8,Parametros!$C:$J,8,0))</f>
        <v>0</v>
      </c>
      <c r="BR8" s="866">
        <f t="shared" ref="BR8:BR9" si="10">IF(ISERROR(ROUND((BP8*BQ8),2)),0,ROUND((BP8*BQ8),2))</f>
        <v>0</v>
      </c>
      <c r="BS8" s="871"/>
      <c r="BT8" s="866">
        <v>0</v>
      </c>
      <c r="BU8" s="434"/>
      <c r="BV8" s="866">
        <v>0</v>
      </c>
      <c r="BW8" s="866">
        <v>0</v>
      </c>
      <c r="BX8" s="869"/>
      <c r="BY8" s="866">
        <f t="shared" ref="BY8:BY9" si="11">SUM(U8:X8)-V8+AA8+AD8-BG8-BP8</f>
        <v>0</v>
      </c>
      <c r="BZ8" s="870">
        <f>IF(ISERROR(VLOOKUP(BX8,Parametros!$C:$J,8,0)),0,VLOOKUP(BX8,Parametros!$C:$J,8,0))</f>
        <v>0</v>
      </c>
      <c r="CA8" s="866">
        <f t="shared" ref="CA8:CA9" si="12">IF(ISERROR(ROUND((BY8*BZ8),2)),0,ROUND((BY8*BZ8),2))</f>
        <v>0</v>
      </c>
      <c r="CB8" s="434"/>
      <c r="CC8" s="866">
        <v>0</v>
      </c>
      <c r="CD8" s="866">
        <v>0</v>
      </c>
      <c r="CE8" s="866">
        <v>0</v>
      </c>
      <c r="CF8" s="866">
        <v>0</v>
      </c>
      <c r="CG8" s="866">
        <v>0</v>
      </c>
      <c r="CH8" s="866">
        <v>0</v>
      </c>
      <c r="CI8" s="866">
        <v>0</v>
      </c>
      <c r="CJ8" s="866">
        <v>0</v>
      </c>
      <c r="CK8" s="866">
        <f t="shared" ref="CK8:CK9" si="13">+BI8+BR8+CA8+SUM(CC8:CJ8)</f>
        <v>0</v>
      </c>
      <c r="CL8" s="863"/>
      <c r="CM8" s="863"/>
      <c r="CN8" s="863"/>
      <c r="CO8" s="434"/>
      <c r="CP8" s="434" t="s">
        <v>2399</v>
      </c>
      <c r="CQ8" s="434"/>
      <c r="CR8" s="434"/>
      <c r="CS8" s="434" t="s">
        <v>2400</v>
      </c>
      <c r="CT8" s="434"/>
      <c r="CU8" s="434"/>
      <c r="CV8" s="863"/>
      <c r="CW8" s="434"/>
      <c r="CX8" s="867"/>
      <c r="CY8" s="867"/>
      <c r="CZ8" s="867"/>
      <c r="DA8" s="434"/>
      <c r="DB8" s="867">
        <f t="shared" ref="DB8:DB9" si="14">IF(ISNUMBER(M8),MONTH(M8),0)</f>
        <v>6</v>
      </c>
      <c r="DC8" s="872" t="str">
        <f>IF(ISNUMBER(M8),IF(ISERROR(HLOOKUP(MONTH(M8),meses_104,1,0)),"NO","SI"),"NO")</f>
        <v>NO</v>
      </c>
      <c r="DD8" s="872" t="str">
        <f>IF(ISNUMBER(M8),IF(ISERROR(HLOOKUP(MONTH(M8),meses_103,1,0)),"NO","SI"),"NO")</f>
        <v>NO</v>
      </c>
      <c r="DE8" s="866">
        <f t="shared" ref="DE8:DE9" si="15">IF(ISBLANK(G8),0,IF(VALUE(LEFT(G8,2))=4,0,AT8))</f>
        <v>0</v>
      </c>
      <c r="DF8" s="866">
        <f t="shared" ref="DF8:DF9" si="16">IF(ISBLANK(G8),0,IF(VALUE(LEFT(G8,2))=4,0,AV8))</f>
        <v>0</v>
      </c>
      <c r="DG8" s="866">
        <f t="shared" ref="DG8:DG9" si="17">IF(ISBLANK(G8),0,IF(VALUE(LEFT(G8,2))=4,0,AX8))</f>
        <v>0</v>
      </c>
      <c r="DH8" s="866">
        <f t="shared" ref="DH8:DH9" si="18">SUM(U8:W8)+SUM(AG8:AJ8)</f>
        <v>0</v>
      </c>
      <c r="DI8" s="866">
        <f t="shared" ref="DI8:DI9" si="19">ROUND((IF(AS8=545,(Z8+AC8+AF8),0)+IF(AU8=545,(Z8+AC8+AF8),0)+IF(AW8=545,(Z8+AC8+AF8),0)),2)</f>
        <v>0</v>
      </c>
      <c r="DJ8" s="866">
        <f t="shared" ref="DJ8:DJ9" si="20">ROUND((IF(AS8=512,Z8,0)+IF(AU8=512,Z8,0)+IF(AW8=512,Z8,0)),2)</f>
        <v>0</v>
      </c>
      <c r="DK8" s="866">
        <f t="shared" ref="DK8:DK9" si="21">Z8+AC8+AF8-DI8-DJ8</f>
        <v>0</v>
      </c>
      <c r="DL8" s="866">
        <f t="shared" ref="DL8:DL9" si="22">SUM(CC8:CH8)+CJ8</f>
        <v>0</v>
      </c>
      <c r="DM8" s="866">
        <f t="shared" ref="DM8:DM9" si="23">CI8</f>
        <v>0</v>
      </c>
      <c r="DN8" s="866">
        <f t="shared" ref="DN8:DN9" si="24">BI8+BR8+CA8</f>
        <v>0</v>
      </c>
      <c r="DO8" s="434"/>
      <c r="DP8" s="863"/>
      <c r="DQ8" s="864" t="s">
        <v>2401</v>
      </c>
      <c r="DR8" s="864" t="s">
        <v>2402</v>
      </c>
      <c r="DS8" s="863"/>
      <c r="DT8" s="863"/>
      <c r="DU8" s="863"/>
      <c r="DV8" s="863"/>
      <c r="DW8" s="863"/>
      <c r="DX8" s="864" t="s">
        <v>1559</v>
      </c>
      <c r="DY8" s="864" t="s">
        <v>2403</v>
      </c>
      <c r="DZ8" s="864"/>
      <c r="EA8" s="863"/>
      <c r="EB8" s="863"/>
      <c r="EC8" s="863"/>
      <c r="ED8" s="863"/>
      <c r="EE8" s="866">
        <v>0</v>
      </c>
      <c r="EF8" s="866">
        <v>0</v>
      </c>
      <c r="EG8" s="866">
        <v>0</v>
      </c>
      <c r="EH8" s="863"/>
      <c r="EI8" s="434"/>
      <c r="EJ8" s="434"/>
      <c r="EK8" s="863"/>
    </row>
    <row r="9" spans="1:142" x14ac:dyDescent="0.25">
      <c r="A9" s="863"/>
      <c r="B9" s="434" t="s">
        <v>2404</v>
      </c>
      <c r="C9" s="863"/>
      <c r="D9" s="434"/>
      <c r="E9" s="864" t="s">
        <v>748</v>
      </c>
      <c r="F9" s="434"/>
      <c r="G9" s="863" t="s">
        <v>1035</v>
      </c>
      <c r="H9" s="864" t="s">
        <v>8</v>
      </c>
      <c r="I9" s="864" t="s">
        <v>8</v>
      </c>
      <c r="J9" s="863"/>
      <c r="K9" s="863"/>
      <c r="L9" s="865">
        <v>45462</v>
      </c>
      <c r="M9" s="865">
        <v>45462</v>
      </c>
      <c r="N9" s="434"/>
      <c r="O9" s="864"/>
      <c r="P9" s="864"/>
      <c r="Q9" s="863"/>
      <c r="R9" s="863"/>
      <c r="S9" s="863"/>
      <c r="T9" s="863" t="s">
        <v>43</v>
      </c>
      <c r="U9" s="866">
        <v>0</v>
      </c>
      <c r="V9" s="866">
        <v>0</v>
      </c>
      <c r="W9" s="866">
        <v>0</v>
      </c>
      <c r="X9" s="866">
        <v>0</v>
      </c>
      <c r="Y9" s="866">
        <v>15</v>
      </c>
      <c r="Z9" s="866">
        <f t="shared" si="0"/>
        <v>0</v>
      </c>
      <c r="AA9" s="866"/>
      <c r="AB9" s="866">
        <v>5</v>
      </c>
      <c r="AC9" s="866">
        <f t="shared" si="1"/>
        <v>0</v>
      </c>
      <c r="AD9" s="866"/>
      <c r="AE9" s="866">
        <v>8</v>
      </c>
      <c r="AF9" s="866">
        <f t="shared" si="2"/>
        <v>0</v>
      </c>
      <c r="AG9" s="866">
        <v>0</v>
      </c>
      <c r="AH9" s="866">
        <v>0</v>
      </c>
      <c r="AI9" s="866">
        <v>0</v>
      </c>
      <c r="AJ9" s="866">
        <v>0</v>
      </c>
      <c r="AK9" s="866">
        <f t="shared" si="3"/>
        <v>0</v>
      </c>
      <c r="AL9" s="866">
        <v>0</v>
      </c>
      <c r="AM9" s="434"/>
      <c r="AN9" s="863"/>
      <c r="AO9" s="863"/>
      <c r="AP9" s="863"/>
      <c r="AQ9" s="863"/>
      <c r="AR9" s="434" t="s">
        <v>1295</v>
      </c>
      <c r="AS9" s="867">
        <v>510</v>
      </c>
      <c r="AT9" s="866">
        <f t="shared" si="4"/>
        <v>0</v>
      </c>
      <c r="AU9" s="867">
        <v>517</v>
      </c>
      <c r="AV9" s="866">
        <f t="shared" si="5"/>
        <v>0</v>
      </c>
      <c r="AW9" s="867">
        <v>542</v>
      </c>
      <c r="AX9" s="866">
        <f t="shared" si="6"/>
        <v>0</v>
      </c>
      <c r="AY9" s="434"/>
      <c r="AZ9" s="866"/>
      <c r="BA9" s="864"/>
      <c r="BB9" s="864"/>
      <c r="BC9" s="863"/>
      <c r="BD9" s="863"/>
      <c r="BE9" s="868"/>
      <c r="BF9" s="869"/>
      <c r="BG9" s="866">
        <f t="shared" si="7"/>
        <v>0</v>
      </c>
      <c r="BH9" s="870">
        <f>IF(ISERROR(VLOOKUP(BF9,Parametros!$C:$J,8,0)),0,VLOOKUP(BF9,Parametros!$C:$J,8,0))</f>
        <v>0</v>
      </c>
      <c r="BI9" s="866">
        <f t="shared" si="8"/>
        <v>0</v>
      </c>
      <c r="BJ9" s="871"/>
      <c r="BK9" s="866">
        <v>0</v>
      </c>
      <c r="BL9" s="434"/>
      <c r="BM9" s="866">
        <v>0</v>
      </c>
      <c r="BN9" s="866">
        <v>0</v>
      </c>
      <c r="BO9" s="869"/>
      <c r="BP9" s="866">
        <f t="shared" si="9"/>
        <v>0</v>
      </c>
      <c r="BQ9" s="870">
        <f>IF(ISERROR(VLOOKUP(BO9,Parametros!$C:$J,8,0)),0,VLOOKUP(BO9,Parametros!$C:$J,8,0))</f>
        <v>0</v>
      </c>
      <c r="BR9" s="866">
        <f t="shared" si="10"/>
        <v>0</v>
      </c>
      <c r="BS9" s="871"/>
      <c r="BT9" s="866">
        <v>0</v>
      </c>
      <c r="BU9" s="434"/>
      <c r="BV9" s="866">
        <v>0</v>
      </c>
      <c r="BW9" s="866">
        <v>0</v>
      </c>
      <c r="BX9" s="869"/>
      <c r="BY9" s="866">
        <f t="shared" si="11"/>
        <v>0</v>
      </c>
      <c r="BZ9" s="870">
        <f>IF(ISERROR(VLOOKUP(BX9,Parametros!$C:$J,8,0)),0,VLOOKUP(BX9,Parametros!$C:$J,8,0))</f>
        <v>0</v>
      </c>
      <c r="CA9" s="866">
        <f t="shared" si="12"/>
        <v>0</v>
      </c>
      <c r="CB9" s="434"/>
      <c r="CC9" s="866">
        <v>0</v>
      </c>
      <c r="CD9" s="866">
        <v>0</v>
      </c>
      <c r="CE9" s="866">
        <v>0</v>
      </c>
      <c r="CF9" s="866">
        <v>0</v>
      </c>
      <c r="CG9" s="866">
        <v>0</v>
      </c>
      <c r="CH9" s="866">
        <v>0</v>
      </c>
      <c r="CI9" s="866">
        <v>0</v>
      </c>
      <c r="CJ9" s="866">
        <v>0</v>
      </c>
      <c r="CK9" s="866">
        <f t="shared" si="13"/>
        <v>0</v>
      </c>
      <c r="CL9" s="863"/>
      <c r="CM9" s="863"/>
      <c r="CN9" s="863"/>
      <c r="CO9" s="434"/>
      <c r="CP9" s="434" t="s">
        <v>2399</v>
      </c>
      <c r="CQ9" s="434"/>
      <c r="CR9" s="434"/>
      <c r="CS9" s="434" t="s">
        <v>2400</v>
      </c>
      <c r="CT9" s="434"/>
      <c r="CU9" s="434"/>
      <c r="CV9" s="863"/>
      <c r="CW9" s="434"/>
      <c r="CX9" s="867"/>
      <c r="CY9" s="867"/>
      <c r="CZ9" s="867"/>
      <c r="DA9" s="434"/>
      <c r="DB9" s="867">
        <f t="shared" si="14"/>
        <v>6</v>
      </c>
      <c r="DC9" s="872" t="str">
        <f>IF(ISNUMBER(M9),IF(ISERROR(HLOOKUP(MONTH(M9),meses_104,1,0)),"NO","SI"),"NO")</f>
        <v>NO</v>
      </c>
      <c r="DD9" s="872" t="str">
        <f>IF(ISNUMBER(M9),IF(ISERROR(HLOOKUP(MONTH(M9),meses_103,1,0)),"NO","SI"),"NO")</f>
        <v>NO</v>
      </c>
      <c r="DE9" s="866">
        <f t="shared" si="15"/>
        <v>0</v>
      </c>
      <c r="DF9" s="866">
        <f t="shared" si="16"/>
        <v>0</v>
      </c>
      <c r="DG9" s="866">
        <f t="shared" si="17"/>
        <v>0</v>
      </c>
      <c r="DH9" s="866">
        <f t="shared" si="18"/>
        <v>0</v>
      </c>
      <c r="DI9" s="866">
        <f t="shared" si="19"/>
        <v>0</v>
      </c>
      <c r="DJ9" s="866">
        <f t="shared" si="20"/>
        <v>0</v>
      </c>
      <c r="DK9" s="866">
        <f t="shared" si="21"/>
        <v>0</v>
      </c>
      <c r="DL9" s="866">
        <f t="shared" si="22"/>
        <v>0</v>
      </c>
      <c r="DM9" s="866">
        <f t="shared" si="23"/>
        <v>0</v>
      </c>
      <c r="DN9" s="866">
        <f t="shared" si="24"/>
        <v>0</v>
      </c>
      <c r="DO9" s="434"/>
      <c r="DP9" s="863"/>
      <c r="DQ9" s="864" t="s">
        <v>2401</v>
      </c>
      <c r="DR9" s="864" t="s">
        <v>2402</v>
      </c>
      <c r="DS9" s="863"/>
      <c r="DT9" s="863"/>
      <c r="DU9" s="863"/>
      <c r="DV9" s="863"/>
      <c r="DW9" s="863"/>
      <c r="DX9" s="864" t="s">
        <v>1559</v>
      </c>
      <c r="DY9" s="864" t="s">
        <v>2403</v>
      </c>
      <c r="DZ9" s="864"/>
      <c r="EA9" s="863"/>
      <c r="EB9" s="863"/>
      <c r="EC9" s="863"/>
      <c r="ED9" s="863"/>
      <c r="EE9" s="866">
        <v>0</v>
      </c>
      <c r="EF9" s="866">
        <v>0</v>
      </c>
      <c r="EG9" s="866">
        <v>0</v>
      </c>
      <c r="EH9" s="863"/>
      <c r="EI9" s="434"/>
      <c r="EJ9" s="434"/>
      <c r="EK9" s="863"/>
    </row>
  </sheetData>
  <autoFilter ref="A6:EL6" xr:uid="{8AA16ABB-469A-45DD-A272-F745DF90E6AC}"/>
  <mergeCells count="81">
    <mergeCell ref="DL5:DL6"/>
    <mergeCell ref="AB5:AB6"/>
    <mergeCell ref="AN5:AN6"/>
    <mergeCell ref="T5:T6"/>
    <mergeCell ref="Y5:Y6"/>
    <mergeCell ref="CL5:CN5"/>
    <mergeCell ref="CZ5:CZ6"/>
    <mergeCell ref="DB5:DB6"/>
    <mergeCell ref="DC5:DC6"/>
    <mergeCell ref="DD5:DD6"/>
    <mergeCell ref="DH5:DH6"/>
    <mergeCell ref="DE5:DE6"/>
    <mergeCell ref="DF5:DF6"/>
    <mergeCell ref="DG5:DG6"/>
    <mergeCell ref="DI5:DI6"/>
    <mergeCell ref="DK5:DK6"/>
    <mergeCell ref="M5:M6"/>
    <mergeCell ref="N5:N6"/>
    <mergeCell ref="O5:O6"/>
    <mergeCell ref="P5:P6"/>
    <mergeCell ref="R5:R6"/>
    <mergeCell ref="Q5:Q6"/>
    <mergeCell ref="L5:L6"/>
    <mergeCell ref="B5:B6"/>
    <mergeCell ref="A5:A6"/>
    <mergeCell ref="C5:C6"/>
    <mergeCell ref="D5:D6"/>
    <mergeCell ref="E5:E6"/>
    <mergeCell ref="F5:F6"/>
    <mergeCell ref="G5:G6"/>
    <mergeCell ref="H5:H6"/>
    <mergeCell ref="I5:I6"/>
    <mergeCell ref="J5:J6"/>
    <mergeCell ref="K5:K6"/>
    <mergeCell ref="DM5:DM6"/>
    <mergeCell ref="DN5:DN6"/>
    <mergeCell ref="EI5:EI6"/>
    <mergeCell ref="EK5:EK6"/>
    <mergeCell ref="DP5:DV5"/>
    <mergeCell ref="DW5:ED5"/>
    <mergeCell ref="EE5:EE6"/>
    <mergeCell ref="EF5:EF6"/>
    <mergeCell ref="EG5:EG6"/>
    <mergeCell ref="EH5:EH6"/>
    <mergeCell ref="DJ5:DJ6"/>
    <mergeCell ref="BQ5:BQ6"/>
    <mergeCell ref="BS5:BS6"/>
    <mergeCell ref="BU5:BU6"/>
    <mergeCell ref="BV5:BV6"/>
    <mergeCell ref="CY5:CY6"/>
    <mergeCell ref="BX5:BX6"/>
    <mergeCell ref="BZ5:BZ6"/>
    <mergeCell ref="CP5:CP6"/>
    <mergeCell ref="CQ5:CQ6"/>
    <mergeCell ref="CR5:CR6"/>
    <mergeCell ref="CS5:CS6"/>
    <mergeCell ref="CT5:CT6"/>
    <mergeCell ref="CU5:CU6"/>
    <mergeCell ref="CV5:CV6"/>
    <mergeCell ref="CW5:CW6"/>
    <mergeCell ref="CX5:CX6"/>
    <mergeCell ref="BJ5:BJ6"/>
    <mergeCell ref="BL5:BL6"/>
    <mergeCell ref="BM5:BM6"/>
    <mergeCell ref="BN5:BN6"/>
    <mergeCell ref="BO5:BO6"/>
    <mergeCell ref="BW5:BW6"/>
    <mergeCell ref="AE5:AE6"/>
    <mergeCell ref="BF5:BF6"/>
    <mergeCell ref="BH5:BH6"/>
    <mergeCell ref="AO5:AQ5"/>
    <mergeCell ref="BE5:BE6"/>
    <mergeCell ref="AZ5:AZ6"/>
    <mergeCell ref="BA5:BA6"/>
    <mergeCell ref="BB5:BB6"/>
    <mergeCell ref="BC5:BC6"/>
    <mergeCell ref="BD5:BD6"/>
    <mergeCell ref="AS5:AS6"/>
    <mergeCell ref="AU5:AU6"/>
    <mergeCell ref="AW5:AW6"/>
    <mergeCell ref="AR5:AR6"/>
  </mergeCells>
  <phoneticPr fontId="55" type="noConversion"/>
  <conditionalFormatting sqref="DQ7:DQ30">
    <cfRule type="expression" dxfId="8" priority="51">
      <formula>ROW()=RowVEN</formula>
    </cfRule>
  </conditionalFormatting>
  <dataValidations count="21">
    <dataValidation type="textLength" errorStyle="warning" operator="equal" allowBlank="1" showInputMessage="1" showErrorMessage="1" errorTitle="Validación de datos" error="Debe ingresar los 10 caracteres correspondientes en cada celda ó dejarla vacia de ser el caso." sqref="BD5 K5 R5" xr:uid="{00000000-0002-0000-0100-000002000000}">
      <formula1>10</formula1>
    </dataValidation>
    <dataValidation type="textLength" errorStyle="warning" operator="equal" allowBlank="1" showInputMessage="1" showErrorMessage="1" errorTitle="Validación de datos" error="Debe ingresar los 3 caracteres correspondientes en cada celda ó dejarla vacia de ser el caso." sqref="BA5:BB5 H5:I5 O5:P5 O7:P1048576 BA7:BB1048576 H7:I1048576" xr:uid="{00000000-0002-0000-0100-000003000000}">
      <formula1>3</formula1>
    </dataValidation>
    <dataValidation type="textLength" errorStyle="warning" allowBlank="1" showInputMessage="1" showErrorMessage="1" errorTitle="Validación de datos" error="Debe ingresar los 10 o 37 o 49 caracteres correspondientes en cada celda ó dejarla vacia de ser el caso." sqref="K1 R7:R1048576 BD7:BD1048576 K7:K1048576" xr:uid="{00000000-0002-0000-0100-000004000000}">
      <formula1>10</formula1>
      <formula2>49</formula2>
    </dataValidation>
    <dataValidation type="list" allowBlank="1" showInputMessage="1" showErrorMessage="1" sqref="CQ7:CR1048576" xr:uid="{00000000-0002-0000-0100-000000000000}">
      <formula1>pagos</formula1>
    </dataValidation>
    <dataValidation type="list" allowBlank="1" showInputMessage="1" showErrorMessage="1" sqref="CS7:CS1048576" xr:uid="{00000000-0002-0000-0100-000008000000}">
      <formula1>"01-REGIMEN GENERAL,02-PARAISO FISCAL,03-REGIMEN FISCAL PREFERENTE"</formula1>
    </dataValidation>
    <dataValidation type="list" allowBlank="1" showInputMessage="1" showErrorMessage="1" sqref="CX7:CZ1048576" xr:uid="{00000000-0002-0000-0100-00000A000000}">
      <formula1>"SI,NO,NA"</formula1>
    </dataValidation>
    <dataValidation type="list" allowBlank="1" showInputMessage="1" showErrorMessage="1" sqref="CP7:CP1048576" xr:uid="{00000000-0002-0000-0100-00000B000000}">
      <formula1>"01-PAGO A RESIDENTE,02-PAGO A NO RESIDENTE"</formula1>
    </dataValidation>
    <dataValidation type="list" allowBlank="1" showInputMessage="1" showErrorMessage="1" sqref="D7:D1048576" xr:uid="{00000000-0002-0000-0100-00000C000000}">
      <formula1>"01-Persona Natural,02-Sociedad"</formula1>
    </dataValidation>
    <dataValidation type="list" allowBlank="1" showInputMessage="1" showErrorMessage="1" errorTitle="Anexos con Excel" error="Debe seleccionar 8 o 12 o 14" sqref="AE7:AE1048576 AB7:AB1048576 Y7:Y1048576" xr:uid="{5B11FB6B-CEB2-470F-8BD0-7FCB88957635}">
      <formula1>tarifasIVA</formula1>
    </dataValidation>
    <dataValidation type="list" allowBlank="1" showInputMessage="1" showErrorMessage="1" sqref="T7:T1048576" xr:uid="{00000000-0002-0000-0100-00000F000000}">
      <formula1>sustentos</formula1>
    </dataValidation>
    <dataValidation type="list" allowBlank="1" showInputMessage="1" showErrorMessage="1" sqref="G7:G1048576 N7:N1048576" xr:uid="{00000000-0002-0000-0100-000010000000}">
      <formula1>ComprobantesCOM</formula1>
    </dataValidation>
    <dataValidation type="list" allowBlank="1" showInputMessage="1" showErrorMessage="1" sqref="E7:E1048576" xr:uid="{00000000-0002-0000-0100-000011000000}">
      <formula1>"SI,NO"</formula1>
    </dataValidation>
    <dataValidation type="list" allowBlank="1" showInputMessage="1" showErrorMessage="1" sqref="F7:F1048576" xr:uid="{00000000-0002-0000-0100-000012000000}">
      <formula1>"F-Fisico,E-Electronico"</formula1>
    </dataValidation>
    <dataValidation type="list" allowBlank="1" showInputMessage="1" showErrorMessage="1" sqref="AZ7:AZ1048576" xr:uid="{00000000-0002-0000-0100-000013000000}">
      <formula1>"F-Fisico,E-Electronico(v1.0),E-Electronico(v2.0)"</formula1>
    </dataValidation>
    <dataValidation type="list" allowBlank="1" showInputMessage="1" showErrorMessage="1" sqref="AR7:AR1048576" xr:uid="{819E45BD-2B05-4D77-930C-81623DAD31B5}">
      <formula1>ListaActividades</formula1>
    </dataValidation>
    <dataValidation type="list" allowBlank="1" showInputMessage="1" showErrorMessage="1" sqref="BX7:BX1048576 BO7:BO1048576 BF7:BF1048576" xr:uid="{C7E0E9D0-9CE8-47F8-BBC2-3ECD08072F91}">
      <formula1>Retenciones</formula1>
    </dataValidation>
    <dataValidation type="list" allowBlank="1" showInputMessage="1" showErrorMessage="1" sqref="AO7:AO1048576" xr:uid="{7D127E6F-4F4C-473E-BF5A-83796DCABEC2}">
      <formula1>gruContableGAS</formula1>
    </dataValidation>
    <dataValidation type="list" allowBlank="1" showInputMessage="1" showErrorMessage="1" sqref="B7:B1048576" xr:uid="{00000000-0002-0000-0100-00000D000000}">
      <formula1>"R-Ruc,C-Cédula,P-Pasaporte,E-ID Exterior"</formula1>
    </dataValidation>
    <dataValidation type="list" allowBlank="1" showInputMessage="1" showErrorMessage="1" sqref="CT7:CT1048576" xr:uid="{8671FD53-0A32-4036-8EF6-D992D24D61DA}">
      <formula1>IF($CS7="01-REGIMEN GENERAL",paises,"")</formula1>
    </dataValidation>
    <dataValidation type="list" allowBlank="1" showInputMessage="1" showErrorMessage="1" sqref="CU7:CU1048576" xr:uid="{9E82CE70-2EC8-48CD-A958-E6B5088761AC}">
      <formula1>IF($CS7="02-PARAISO FISCAL",paises17a,"")</formula1>
    </dataValidation>
    <dataValidation type="list" allowBlank="1" showInputMessage="1" showErrorMessage="1" sqref="CW7:CW1048576" xr:uid="{00897259-8058-4A9E-9E64-2E2C3536D819}">
      <formula1>IF($CS7="02-PARAISO FISCAL",paises17b,IF($CS7="01-REGIMEN GENERAL",$CT7,paises))</formula1>
    </dataValidation>
  </dataValidations>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dimension ref="A1:CV9"/>
  <sheetViews>
    <sheetView showGridLines="0" zoomScaleNormal="100" workbookViewId="0">
      <pane xSplit="3" ySplit="6" topLeftCell="D7" activePane="bottomRight" state="frozen"/>
      <selection activeCell="D7" sqref="D7"/>
      <selection pane="topRight" activeCell="D7" sqref="D7"/>
      <selection pane="bottomLeft" activeCell="D7" sqref="D7"/>
      <selection pane="bottomRight" activeCell="D7" sqref="D7"/>
    </sheetView>
  </sheetViews>
  <sheetFormatPr baseColWidth="10" defaultColWidth="10.81640625" defaultRowHeight="11.5" outlineLevelCol="1" x14ac:dyDescent="0.25"/>
  <cols>
    <col min="1" max="1" width="15" style="350" customWidth="1"/>
    <col min="2" max="2" width="8.81640625" style="333" hidden="1" customWidth="1"/>
    <col min="3" max="3" width="25.1796875" style="350" customWidth="1"/>
    <col min="4" max="4" width="19.7265625" style="333" customWidth="1" outlineLevel="1"/>
    <col min="5" max="5" width="8" style="351" customWidth="1"/>
    <col min="6" max="6" width="9.26953125" style="431" customWidth="1"/>
    <col min="7" max="7" width="12.453125" style="333" customWidth="1"/>
    <col min="8" max="8" width="20.7265625" style="333" customWidth="1"/>
    <col min="9" max="9" width="12" style="352" customWidth="1"/>
    <col min="10" max="10" width="7.26953125" style="368" customWidth="1"/>
    <col min="11" max="11" width="16" style="350" customWidth="1"/>
    <col min="12" max="12" width="17.7265625" style="350" customWidth="1" outlineLevel="1"/>
    <col min="13" max="13" width="11.453125" style="353" customWidth="1"/>
    <col min="14" max="14" width="10.81640625" style="353" customWidth="1" outlineLevel="1"/>
    <col min="15" max="15" width="10.81640625" style="353"/>
    <col min="16" max="16" width="12" style="353" customWidth="1"/>
    <col min="17" max="17" width="7.81640625" style="353" customWidth="1"/>
    <col min="18" max="18" width="10.81640625" style="353"/>
    <col min="19" max="19" width="12" style="353" customWidth="1"/>
    <col min="20" max="20" width="7.81640625" style="353" customWidth="1"/>
    <col min="21" max="21" width="10.81640625" style="353"/>
    <col min="22" max="22" width="12" style="353" customWidth="1"/>
    <col min="23" max="23" width="7.81640625" style="353" customWidth="1"/>
    <col min="24" max="24" width="10.81640625" style="353"/>
    <col min="25" max="27" width="11.453125" style="353" customWidth="1" outlineLevel="1"/>
    <col min="28" max="28" width="12.26953125" style="353" customWidth="1"/>
    <col min="29" max="29" width="11.453125" style="353" customWidth="1" outlineLevel="1"/>
    <col min="30" max="30" width="1.7265625" style="333" customWidth="1"/>
    <col min="31" max="31" width="13.54296875" style="350" hidden="1" customWidth="1" outlineLevel="1"/>
    <col min="32" max="32" width="20.7265625" style="353" hidden="1" customWidth="1" outlineLevel="1"/>
    <col min="33" max="33" width="11.453125" style="545" hidden="1" customWidth="1" outlineLevel="1"/>
    <col min="34" max="34" width="7.453125" style="350" hidden="1" customWidth="1" outlineLevel="1"/>
    <col min="35" max="35" width="27.7265625" style="333" customWidth="1" collapsed="1"/>
    <col min="36" max="36" width="6.54296875" style="431" customWidth="1"/>
    <col min="37" max="37" width="11.81640625" style="353" customWidth="1"/>
    <col min="38" max="38" width="6.54296875" style="431" customWidth="1"/>
    <col min="39" max="39" width="11.81640625" style="353" customWidth="1"/>
    <col min="40" max="40" width="6.54296875" style="431" customWidth="1"/>
    <col min="41" max="41" width="11.81640625" style="353" customWidth="1"/>
    <col min="42" max="42" width="1.1796875" style="333" customWidth="1"/>
    <col min="43" max="43" width="14.26953125" style="333" customWidth="1"/>
    <col min="44" max="45" width="10.81640625" style="353" customWidth="1"/>
    <col min="46" max="46" width="10.81640625" style="353" customWidth="1" outlineLevel="1"/>
    <col min="47" max="47" width="16.1796875" style="350" customWidth="1"/>
    <col min="48" max="48" width="13.1796875" style="352" hidden="1" customWidth="1" outlineLevel="1"/>
    <col min="49" max="49" width="18.453125" style="350" hidden="1" customWidth="1" outlineLevel="1"/>
    <col min="50" max="50" width="22.453125" style="352" hidden="1" customWidth="1" outlineLevel="1"/>
    <col min="51" max="51" width="12.26953125" style="350" hidden="1" customWidth="1" outlineLevel="1"/>
    <col min="52" max="52" width="7.453125" style="350" hidden="1" customWidth="1" outlineLevel="1"/>
    <col min="53" max="53" width="1.81640625" style="333" customWidth="1" collapsed="1"/>
    <col min="54" max="54" width="22.26953125" style="333" customWidth="1"/>
    <col min="55" max="55" width="22.26953125" style="333" hidden="1" customWidth="1" outlineLevel="1"/>
    <col min="56" max="56" width="1.81640625" style="333" customWidth="1" collapsed="1"/>
    <col min="57" max="57" width="7" style="351" customWidth="1"/>
    <col min="58" max="58" width="8.26953125" style="351" customWidth="1"/>
    <col min="59" max="64" width="11.453125" style="353" hidden="1" customWidth="1" outlineLevel="1"/>
    <col min="65" max="65" width="1.81640625" style="333" customWidth="1" collapsed="1"/>
    <col min="66" max="66" width="20.453125" style="350" hidden="1" customWidth="1" outlineLevel="1"/>
    <col min="67" max="67" width="9.54296875" style="368" hidden="1" customWidth="1" outlineLevel="1"/>
    <col min="68" max="69" width="9.81640625" style="368" hidden="1" customWidth="1" outlineLevel="1"/>
    <col min="70" max="73" width="27.7265625" style="350" hidden="1" customWidth="1" outlineLevel="1"/>
    <col min="74" max="74" width="29.1796875" style="350" hidden="1" customWidth="1" outlineLevel="1"/>
    <col min="75" max="75" width="12" style="353" hidden="1" customWidth="1" outlineLevel="1"/>
    <col min="76" max="76" width="9.81640625" style="350" hidden="1" customWidth="1" outlineLevel="1"/>
    <col min="77" max="77" width="11.54296875" style="350" hidden="1" customWidth="1" outlineLevel="1"/>
    <col min="78" max="78" width="12.26953125" style="470" hidden="1" customWidth="1" outlineLevel="1"/>
    <col min="79" max="79" width="11.453125" style="353" hidden="1" customWidth="1" outlineLevel="1"/>
    <col min="80" max="80" width="29.81640625" style="350" customWidth="1" collapsed="1"/>
    <col min="81" max="81" width="2" style="333" customWidth="1"/>
    <col min="82" max="87" width="9.7265625" style="353" hidden="1" customWidth="1" outlineLevel="1"/>
    <col min="88" max="99" width="11.1796875" style="353" hidden="1" customWidth="1" outlineLevel="1"/>
    <col min="100" max="100" width="3.1796875" style="333" customWidth="1" collapsed="1"/>
    <col min="101" max="16384" width="10.81640625" style="333"/>
  </cols>
  <sheetData>
    <row r="1" spans="1:99" ht="20.149999999999999" customHeight="1" x14ac:dyDescent="0.25">
      <c r="A1" s="372" t="str">
        <f>Parametros!D4&amp;" - "&amp;Parametros!D5</f>
        <v>1306304542001 - VELIZ NAPA JAVIER</v>
      </c>
      <c r="B1" s="325"/>
      <c r="C1" s="322"/>
      <c r="D1" s="322"/>
      <c r="E1" s="323"/>
      <c r="F1" s="429"/>
      <c r="G1" s="322"/>
      <c r="H1" s="322"/>
      <c r="I1" s="324"/>
      <c r="J1" s="323"/>
      <c r="K1" s="322"/>
      <c r="L1" s="322"/>
      <c r="M1" s="322"/>
      <c r="N1" s="322"/>
      <c r="O1" s="326"/>
      <c r="P1" s="326"/>
      <c r="Q1" s="326"/>
      <c r="R1" s="326"/>
      <c r="S1" s="326"/>
      <c r="T1" s="326"/>
      <c r="U1" s="326"/>
      <c r="V1" s="326"/>
      <c r="W1" s="326"/>
      <c r="X1" s="326"/>
      <c r="Y1" s="326"/>
      <c r="Z1" s="326"/>
      <c r="AA1" s="326"/>
      <c r="AB1" s="326"/>
      <c r="AC1" s="326"/>
      <c r="AD1" s="540"/>
      <c r="AE1" s="322"/>
      <c r="AF1" s="326"/>
      <c r="AG1" s="367"/>
      <c r="AH1" s="367"/>
      <c r="AI1" s="322"/>
      <c r="AJ1" s="429"/>
      <c r="AK1" s="326"/>
      <c r="AL1" s="429"/>
      <c r="AM1" s="326"/>
      <c r="AN1" s="432"/>
      <c r="AO1" s="326"/>
      <c r="AP1" s="540"/>
      <c r="AQ1" s="332"/>
      <c r="AR1" s="326"/>
      <c r="AS1" s="326"/>
      <c r="AT1" s="326"/>
      <c r="AU1" s="367"/>
      <c r="AV1" s="644"/>
      <c r="AW1" s="367"/>
      <c r="AX1" s="332"/>
      <c r="AY1" s="367"/>
      <c r="AZ1" s="367"/>
      <c r="BA1" s="540"/>
      <c r="BB1" s="332"/>
      <c r="BC1" s="332"/>
      <c r="BD1" s="540"/>
      <c r="BE1" s="321"/>
      <c r="BF1" s="321"/>
      <c r="BG1" s="326"/>
      <c r="BH1" s="327"/>
      <c r="BI1" s="326"/>
      <c r="BJ1" s="326"/>
      <c r="BK1" s="326"/>
      <c r="BL1" s="326"/>
      <c r="BM1" s="540"/>
      <c r="BN1" s="322"/>
      <c r="BO1" s="323"/>
      <c r="BP1" s="323"/>
      <c r="BQ1" s="323"/>
      <c r="BW1" s="326"/>
      <c r="BX1" s="322"/>
      <c r="BY1" s="322"/>
      <c r="BZ1" s="469"/>
      <c r="CA1" s="326"/>
      <c r="CB1" s="322"/>
      <c r="CC1" s="332"/>
      <c r="CD1" s="326"/>
      <c r="CE1" s="326"/>
      <c r="CF1" s="326"/>
      <c r="CG1" s="326"/>
      <c r="CH1" s="326"/>
      <c r="CI1" s="326"/>
      <c r="CJ1" s="326"/>
      <c r="CK1" s="326"/>
      <c r="CL1" s="326"/>
      <c r="CM1" s="326"/>
      <c r="CN1" s="326"/>
      <c r="CO1" s="326"/>
      <c r="CP1" s="326"/>
      <c r="CQ1" s="326"/>
      <c r="CR1" s="326"/>
      <c r="CS1" s="326"/>
      <c r="CT1" s="326"/>
      <c r="CU1" s="326"/>
    </row>
    <row r="2" spans="1:99" ht="19.5" customHeight="1" thickBot="1" x14ac:dyDescent="0.3">
      <c r="A2" s="373" t="s">
        <v>1240</v>
      </c>
      <c r="B2" s="334"/>
      <c r="C2" s="334"/>
      <c r="D2" s="334"/>
      <c r="E2" s="323"/>
      <c r="F2" s="429"/>
      <c r="G2" s="322"/>
      <c r="H2" s="322"/>
      <c r="I2" s="324"/>
      <c r="J2" s="323"/>
      <c r="K2" s="322"/>
      <c r="L2" s="322"/>
      <c r="M2" s="322"/>
      <c r="N2" s="322"/>
      <c r="O2" s="326"/>
      <c r="P2" s="326"/>
      <c r="Q2" s="326"/>
      <c r="R2" s="326"/>
      <c r="S2" s="326"/>
      <c r="T2" s="326"/>
      <c r="U2" s="326"/>
      <c r="V2" s="326"/>
      <c r="W2" s="326"/>
      <c r="X2" s="326"/>
      <c r="Y2" s="326"/>
      <c r="Z2" s="326"/>
      <c r="AA2" s="326"/>
      <c r="AB2" s="326"/>
      <c r="AC2" s="326"/>
      <c r="AD2" s="540"/>
      <c r="AE2" s="322"/>
      <c r="AF2" s="326"/>
      <c r="AG2" s="367"/>
      <c r="AH2" s="367"/>
      <c r="AI2" s="322"/>
      <c r="AJ2" s="429"/>
      <c r="AK2" s="326"/>
      <c r="AL2" s="429"/>
      <c r="AM2" s="326"/>
      <c r="AN2" s="432"/>
      <c r="AO2" s="326"/>
      <c r="AP2" s="540"/>
      <c r="AQ2" s="332"/>
      <c r="AR2" s="326"/>
      <c r="AS2" s="326"/>
      <c r="AT2" s="326"/>
      <c r="AU2" s="367"/>
      <c r="AV2" s="644"/>
      <c r="AW2" s="367"/>
      <c r="AX2" s="332"/>
      <c r="AY2" s="367"/>
      <c r="AZ2" s="367"/>
      <c r="BA2" s="540"/>
      <c r="BB2" s="332"/>
      <c r="BC2" s="332"/>
      <c r="BD2" s="540"/>
      <c r="BE2" s="321"/>
      <c r="BF2" s="321"/>
      <c r="BG2" s="326"/>
      <c r="BH2" s="327"/>
      <c r="BI2" s="326"/>
      <c r="BJ2" s="326"/>
      <c r="BK2" s="326"/>
      <c r="BL2" s="326"/>
      <c r="BM2" s="540"/>
      <c r="BR2" s="322" t="s">
        <v>1722</v>
      </c>
      <c r="BS2" s="322" t="s">
        <v>1723</v>
      </c>
      <c r="BT2" s="322" t="s">
        <v>1726</v>
      </c>
      <c r="BU2" s="322" t="s">
        <v>1725</v>
      </c>
      <c r="BV2" s="322" t="s">
        <v>1952</v>
      </c>
      <c r="BW2" s="326"/>
      <c r="BX2" s="322"/>
      <c r="BY2" s="322" t="s">
        <v>1954</v>
      </c>
      <c r="BZ2" s="469"/>
      <c r="CA2" s="326"/>
      <c r="CB2" s="322"/>
      <c r="CC2" s="332"/>
      <c r="CD2" s="326"/>
      <c r="CE2" s="326"/>
      <c r="CF2" s="326"/>
      <c r="CG2" s="326"/>
      <c r="CH2" s="326"/>
      <c r="CI2" s="326"/>
      <c r="CJ2" s="326"/>
      <c r="CK2" s="326"/>
      <c r="CL2" s="326"/>
      <c r="CM2" s="326"/>
      <c r="CN2" s="326"/>
      <c r="CO2" s="326"/>
      <c r="CP2" s="326"/>
      <c r="CQ2" s="326"/>
      <c r="CR2" s="326"/>
      <c r="CS2" s="326"/>
      <c r="CT2" s="326"/>
      <c r="CU2" s="326"/>
    </row>
    <row r="3" spans="1:99" s="344" customFormat="1" ht="16" hidden="1" customHeight="1" thickBot="1" x14ac:dyDescent="0.3">
      <c r="A3" s="336"/>
      <c r="B3" s="369"/>
      <c r="C3" s="338"/>
      <c r="D3" s="338"/>
      <c r="E3" s="338"/>
      <c r="F3" s="430"/>
      <c r="G3" s="338"/>
      <c r="H3" s="338"/>
      <c r="I3" s="339"/>
      <c r="J3" s="338"/>
      <c r="K3" s="338"/>
      <c r="L3" s="338"/>
      <c r="M3" s="340"/>
      <c r="N3" s="340"/>
      <c r="O3" s="340"/>
      <c r="P3" s="340"/>
      <c r="Q3" s="340"/>
      <c r="R3" s="340"/>
      <c r="S3" s="340"/>
      <c r="T3" s="340"/>
      <c r="U3" s="340"/>
      <c r="V3" s="340"/>
      <c r="W3" s="340"/>
      <c r="X3" s="340"/>
      <c r="Y3" s="340"/>
      <c r="Z3" s="340"/>
      <c r="AA3" s="340"/>
      <c r="AB3" s="340"/>
      <c r="AC3" s="340"/>
      <c r="AD3" s="541"/>
      <c r="AE3" s="338"/>
      <c r="AF3" s="340"/>
      <c r="AG3" s="336"/>
      <c r="AH3" s="336"/>
      <c r="AI3" s="338"/>
      <c r="AJ3" s="430"/>
      <c r="AK3" s="340"/>
      <c r="AL3" s="430"/>
      <c r="AM3" s="340"/>
      <c r="AN3" s="433"/>
      <c r="AO3" s="340"/>
      <c r="AP3" s="541"/>
      <c r="AQ3" s="341"/>
      <c r="AR3" s="340"/>
      <c r="AS3" s="340"/>
      <c r="AT3" s="340"/>
      <c r="AU3" s="336"/>
      <c r="AV3" s="339"/>
      <c r="AW3" s="336"/>
      <c r="AX3" s="339"/>
      <c r="AY3" s="338"/>
      <c r="AZ3" s="336"/>
      <c r="BA3" s="541"/>
      <c r="BB3" s="341"/>
      <c r="BC3" s="341"/>
      <c r="BD3" s="541"/>
      <c r="BE3" s="337"/>
      <c r="BF3" s="337"/>
      <c r="BG3" s="340"/>
      <c r="BH3" s="340"/>
      <c r="BI3" s="340"/>
      <c r="BJ3" s="340"/>
      <c r="BK3" s="340"/>
      <c r="BL3" s="340"/>
      <c r="BM3" s="541"/>
      <c r="BN3" s="465"/>
      <c r="BO3" s="376"/>
      <c r="BP3" s="323"/>
      <c r="BQ3" s="323"/>
      <c r="BR3" s="465"/>
      <c r="BS3" s="465"/>
      <c r="BT3" s="465"/>
      <c r="BU3" s="465"/>
      <c r="BV3" s="465"/>
      <c r="BW3" s="326"/>
      <c r="BX3" s="338"/>
      <c r="BY3" s="338"/>
      <c r="BZ3" s="430"/>
      <c r="CA3" s="340"/>
      <c r="CB3" s="338"/>
      <c r="CC3" s="341"/>
      <c r="CD3" s="340"/>
      <c r="CE3" s="340"/>
      <c r="CF3" s="340"/>
      <c r="CG3" s="340"/>
      <c r="CH3" s="340"/>
      <c r="CI3" s="340"/>
      <c r="CJ3" s="340"/>
      <c r="CK3" s="340"/>
      <c r="CL3" s="340"/>
      <c r="CM3" s="340"/>
      <c r="CN3" s="340"/>
      <c r="CO3" s="340"/>
      <c r="CP3" s="340"/>
      <c r="CQ3" s="340"/>
      <c r="CR3" s="340"/>
      <c r="CS3" s="340"/>
      <c r="CT3" s="340"/>
      <c r="CU3" s="340"/>
    </row>
    <row r="4" spans="1:99" s="615" customFormat="1" ht="14.5" customHeight="1" x14ac:dyDescent="0.25">
      <c r="A4" s="370"/>
      <c r="B4" s="371" t="str">
        <f>"# Registros VENTAS : " &amp; COUNTIF(I:I,"&gt;0")</f>
        <v># Registros VENTAS : 3</v>
      </c>
      <c r="C4" s="595" t="s">
        <v>2206</v>
      </c>
      <c r="D4" s="596"/>
      <c r="E4" s="599" t="s">
        <v>2205</v>
      </c>
      <c r="F4" s="640"/>
      <c r="G4" s="601"/>
      <c r="H4" s="601"/>
      <c r="I4" s="619"/>
      <c r="J4" s="619"/>
      <c r="K4" s="619"/>
      <c r="L4" s="619"/>
      <c r="M4" s="599" t="s">
        <v>2210</v>
      </c>
      <c r="N4" s="537"/>
      <c r="O4" s="537"/>
      <c r="P4" s="600"/>
      <c r="Q4" s="599"/>
      <c r="R4" s="537"/>
      <c r="S4" s="600"/>
      <c r="T4" s="599"/>
      <c r="U4" s="537"/>
      <c r="V4" s="600"/>
      <c r="W4" s="599"/>
      <c r="X4" s="537"/>
      <c r="Y4" s="537"/>
      <c r="Z4" s="537"/>
      <c r="AA4" s="537"/>
      <c r="AB4" s="537"/>
      <c r="AC4" s="600"/>
      <c r="AD4" s="602"/>
      <c r="AE4" s="603"/>
      <c r="AF4" s="641" t="s">
        <v>2059</v>
      </c>
      <c r="AG4" s="642"/>
      <c r="AH4" s="643"/>
      <c r="AI4" s="597"/>
      <c r="AJ4" s="604" t="s">
        <v>2038</v>
      </c>
      <c r="AK4" s="537"/>
      <c r="AL4" s="605"/>
      <c r="AM4" s="537"/>
      <c r="AN4" s="605"/>
      <c r="AO4" s="600"/>
      <c r="AP4" s="602"/>
      <c r="AQ4" s="594" t="s">
        <v>2202</v>
      </c>
      <c r="AR4" s="537"/>
      <c r="AS4" s="600"/>
      <c r="AT4" s="600"/>
      <c r="AU4" s="601"/>
      <c r="AV4" s="619"/>
      <c r="AW4" s="601"/>
      <c r="AX4" s="594" t="s">
        <v>2059</v>
      </c>
      <c r="AY4" s="601"/>
      <c r="AZ4" s="606"/>
      <c r="BA4" s="602"/>
      <c r="BB4" s="594" t="s">
        <v>1327</v>
      </c>
      <c r="BC4" s="607"/>
      <c r="BD4" s="602"/>
      <c r="BE4" s="608" t="s">
        <v>682</v>
      </c>
      <c r="BF4" s="608" t="s">
        <v>682</v>
      </c>
      <c r="BG4" s="609" t="s">
        <v>682</v>
      </c>
      <c r="BH4" s="609" t="s">
        <v>682</v>
      </c>
      <c r="BI4" s="609" t="s">
        <v>682</v>
      </c>
      <c r="BJ4" s="609" t="s">
        <v>682</v>
      </c>
      <c r="BK4" s="609" t="s">
        <v>682</v>
      </c>
      <c r="BL4" s="609" t="s">
        <v>682</v>
      </c>
      <c r="BM4" s="602"/>
      <c r="BN4" s="603"/>
      <c r="BO4" s="610"/>
      <c r="BP4" s="611"/>
      <c r="BQ4" s="611"/>
      <c r="BR4" s="603"/>
      <c r="BS4" s="603"/>
      <c r="BT4" s="603"/>
      <c r="BU4" s="603"/>
      <c r="BV4" s="603"/>
      <c r="BW4" s="327"/>
      <c r="BX4" s="603"/>
      <c r="BY4" s="603"/>
      <c r="BZ4" s="612"/>
      <c r="CA4" s="609" t="s">
        <v>682</v>
      </c>
      <c r="CB4" s="598"/>
      <c r="CC4" s="614"/>
      <c r="CD4" s="1300" t="s">
        <v>1124</v>
      </c>
      <c r="CE4" s="1301"/>
      <c r="CF4" s="1301"/>
      <c r="CG4" s="1301"/>
      <c r="CH4" s="1301"/>
      <c r="CI4" s="1302"/>
      <c r="CJ4" s="1300" t="s">
        <v>1123</v>
      </c>
      <c r="CK4" s="1301"/>
      <c r="CL4" s="1301"/>
      <c r="CM4" s="1301"/>
      <c r="CN4" s="1301"/>
      <c r="CO4" s="1301"/>
      <c r="CP4" s="1301"/>
      <c r="CQ4" s="1301"/>
      <c r="CR4" s="1301"/>
      <c r="CS4" s="1301"/>
      <c r="CT4" s="1301"/>
      <c r="CU4" s="1302"/>
    </row>
    <row r="5" spans="1:99" ht="16" customHeight="1" thickBot="1" x14ac:dyDescent="0.3">
      <c r="A5" s="1239" t="s">
        <v>683</v>
      </c>
      <c r="B5" s="1303" t="s">
        <v>1001</v>
      </c>
      <c r="C5" s="1241" t="s">
        <v>685</v>
      </c>
      <c r="D5" s="1303" t="s">
        <v>1002</v>
      </c>
      <c r="E5" s="1303" t="s">
        <v>687</v>
      </c>
      <c r="F5" s="1305" t="s">
        <v>1003</v>
      </c>
      <c r="G5" s="1303" t="s">
        <v>1004</v>
      </c>
      <c r="H5" s="1303" t="s">
        <v>1005</v>
      </c>
      <c r="I5" s="1327" t="s">
        <v>693</v>
      </c>
      <c r="J5" s="1325" t="s">
        <v>1006</v>
      </c>
      <c r="K5" s="1323" t="s">
        <v>2203</v>
      </c>
      <c r="L5" s="1323" t="s">
        <v>2204</v>
      </c>
      <c r="M5" s="814">
        <f>SUBTOTAL(9,M$6:M987)</f>
        <v>0</v>
      </c>
      <c r="N5" s="814">
        <f>SUBTOTAL(9,N$6:N987)</f>
        <v>0</v>
      </c>
      <c r="O5" s="592">
        <f>SUBTOTAL(9,O$6:O987)</f>
        <v>0</v>
      </c>
      <c r="P5" s="814">
        <f>SUBTOTAL(9,P$6:P987)</f>
        <v>0</v>
      </c>
      <c r="Q5" s="1230" t="s">
        <v>2383</v>
      </c>
      <c r="R5" s="814">
        <f>SUBTOTAL(9,R$6:R987)</f>
        <v>0</v>
      </c>
      <c r="S5" s="814">
        <f>SUBTOTAL(9,S$6:S987)</f>
        <v>0</v>
      </c>
      <c r="T5" s="1230" t="s">
        <v>2384</v>
      </c>
      <c r="U5" s="814">
        <f>SUBTOTAL(9,U$6:U987)</f>
        <v>0</v>
      </c>
      <c r="V5" s="814">
        <f>SUBTOTAL(9,V$6:V987)</f>
        <v>0</v>
      </c>
      <c r="W5" s="1230" t="s">
        <v>2393</v>
      </c>
      <c r="X5" s="814">
        <f>SUBTOTAL(9,X$6:X987)</f>
        <v>0</v>
      </c>
      <c r="Y5" s="592">
        <f>SUBTOTAL(9,Y$6:Y987)</f>
        <v>0</v>
      </c>
      <c r="Z5" s="592">
        <f>SUBTOTAL(9,Z$6:Z987)</f>
        <v>0</v>
      </c>
      <c r="AA5" s="592">
        <f>SUBTOTAL(9,AA$6:AA987)</f>
        <v>0</v>
      </c>
      <c r="AB5" s="592">
        <f>SUBTOTAL(9,AB$6:AB987)</f>
        <v>0</v>
      </c>
      <c r="AC5" s="592">
        <f>SUBTOTAL(9,AC$6:AC987)</f>
        <v>0</v>
      </c>
      <c r="AD5" s="542"/>
      <c r="AE5" s="1290" t="s">
        <v>2179</v>
      </c>
      <c r="AF5" s="1236" t="s">
        <v>1900</v>
      </c>
      <c r="AG5" s="1236"/>
      <c r="AH5" s="1236"/>
      <c r="AI5" s="1245" t="s">
        <v>2207</v>
      </c>
      <c r="AJ5" s="1317" t="s">
        <v>2045</v>
      </c>
      <c r="AK5" s="588">
        <f>SUBTOTAL(9,AK$6:AK987)</f>
        <v>0</v>
      </c>
      <c r="AL5" s="1317" t="s">
        <v>2046</v>
      </c>
      <c r="AM5" s="588">
        <f>SUBTOTAL(9,AM$6:AM987)</f>
        <v>0</v>
      </c>
      <c r="AN5" s="1317" t="s">
        <v>2047</v>
      </c>
      <c r="AO5" s="588">
        <f>SUBTOTAL(9,AO$6:AO987)</f>
        <v>0</v>
      </c>
      <c r="AP5" s="542"/>
      <c r="AQ5" s="1318" t="s">
        <v>1313</v>
      </c>
      <c r="AR5" s="592">
        <f>SUBTOTAL(9,AR$6:AR987)</f>
        <v>0</v>
      </c>
      <c r="AS5" s="592">
        <f>SUBTOTAL(9,AS$6:AS987)</f>
        <v>0</v>
      </c>
      <c r="AT5" s="592">
        <f>SUBTOTAL(9,AT$6:AT987)</f>
        <v>0</v>
      </c>
      <c r="AU5" s="1315" t="s">
        <v>2199</v>
      </c>
      <c r="AV5" s="1312" t="s">
        <v>2200</v>
      </c>
      <c r="AW5" s="1320" t="s">
        <v>2201</v>
      </c>
      <c r="AX5" s="1236" t="s">
        <v>2053</v>
      </c>
      <c r="AY5" s="1236"/>
      <c r="AZ5" s="1236"/>
      <c r="BA5" s="542"/>
      <c r="BB5" s="1265" t="s">
        <v>1009</v>
      </c>
      <c r="BC5" s="1311" t="s">
        <v>1010</v>
      </c>
      <c r="BD5" s="542"/>
      <c r="BE5" s="1322" t="s">
        <v>1236</v>
      </c>
      <c r="BF5" s="1314" t="s">
        <v>1316</v>
      </c>
      <c r="BG5" s="1259" t="s">
        <v>743</v>
      </c>
      <c r="BH5" s="1310" t="s">
        <v>744</v>
      </c>
      <c r="BI5" s="1310" t="s">
        <v>745</v>
      </c>
      <c r="BJ5" s="1259" t="s">
        <v>2189</v>
      </c>
      <c r="BK5" s="1259" t="s">
        <v>2190</v>
      </c>
      <c r="BL5" s="1268" t="s">
        <v>2385</v>
      </c>
      <c r="BM5" s="542"/>
      <c r="BN5" s="1309" t="s">
        <v>2055</v>
      </c>
      <c r="BO5" s="1309"/>
      <c r="BP5" s="1309"/>
      <c r="BQ5" s="1309"/>
      <c r="BR5" s="1309"/>
      <c r="BS5" s="1309"/>
      <c r="BT5" s="1309"/>
      <c r="BU5" s="1309"/>
      <c r="BV5" s="1309"/>
      <c r="BW5" s="1309"/>
      <c r="BX5" s="1309"/>
      <c r="BY5" s="1278" t="s">
        <v>1950</v>
      </c>
      <c r="BZ5" s="1280" t="s">
        <v>1838</v>
      </c>
      <c r="CA5" s="1307" t="s">
        <v>2250</v>
      </c>
      <c r="CB5" s="1272" t="s">
        <v>746</v>
      </c>
      <c r="CC5" s="346"/>
      <c r="CD5" s="377"/>
      <c r="CE5" s="645">
        <f>SUBTOTAL(9,CE$6:CE987)</f>
        <v>0</v>
      </c>
      <c r="CF5" s="378"/>
      <c r="CG5" s="645">
        <f>SUBTOTAL(9,CG$6:CG987)</f>
        <v>0</v>
      </c>
      <c r="CH5" s="378"/>
      <c r="CI5" s="645">
        <f>SUBTOTAL(9,CI$6:CI987)</f>
        <v>0</v>
      </c>
      <c r="CJ5" s="345"/>
      <c r="CK5" s="645">
        <f>SUBTOTAL(9,CK$6:CK987)</f>
        <v>0</v>
      </c>
      <c r="CL5" s="345"/>
      <c r="CM5" s="645">
        <f>SUBTOTAL(9,CM$6:CM987)</f>
        <v>0</v>
      </c>
      <c r="CN5" s="345"/>
      <c r="CO5" s="645">
        <f>SUBTOTAL(9,CO$6:CO987)</f>
        <v>0</v>
      </c>
      <c r="CP5" s="345"/>
      <c r="CQ5" s="645">
        <f>SUBTOTAL(9,CQ$6:CQ987)</f>
        <v>0</v>
      </c>
      <c r="CR5" s="345"/>
      <c r="CS5" s="645">
        <f>SUBTOTAL(9,CS$6:CS987)</f>
        <v>0</v>
      </c>
      <c r="CT5" s="345"/>
      <c r="CU5" s="645">
        <f>SUBTOTAL(9,CU$6:CU987)</f>
        <v>0</v>
      </c>
    </row>
    <row r="6" spans="1:99" ht="47.15" customHeight="1" x14ac:dyDescent="0.25">
      <c r="A6" s="1240"/>
      <c r="B6" s="1304"/>
      <c r="C6" s="1242"/>
      <c r="D6" s="1304"/>
      <c r="E6" s="1304"/>
      <c r="F6" s="1306"/>
      <c r="G6" s="1304"/>
      <c r="H6" s="1304"/>
      <c r="I6" s="1328"/>
      <c r="J6" s="1326"/>
      <c r="K6" s="1290"/>
      <c r="L6" s="1324"/>
      <c r="M6" s="862" t="s">
        <v>699</v>
      </c>
      <c r="N6" s="862" t="s">
        <v>1314</v>
      </c>
      <c r="O6" s="815" t="s">
        <v>701</v>
      </c>
      <c r="P6" s="841" t="s">
        <v>2415</v>
      </c>
      <c r="Q6" s="1231"/>
      <c r="R6" s="862" t="s">
        <v>2416</v>
      </c>
      <c r="S6" s="841" t="s">
        <v>2417</v>
      </c>
      <c r="T6" s="1231"/>
      <c r="U6" s="862" t="s">
        <v>2418</v>
      </c>
      <c r="V6" s="841" t="s">
        <v>2419</v>
      </c>
      <c r="W6" s="1231"/>
      <c r="X6" s="862" t="s">
        <v>2420</v>
      </c>
      <c r="Y6" s="840" t="s">
        <v>1312</v>
      </c>
      <c r="Z6" s="840" t="s">
        <v>1237</v>
      </c>
      <c r="AA6" s="840" t="s">
        <v>2397</v>
      </c>
      <c r="AB6" s="840" t="s">
        <v>706</v>
      </c>
      <c r="AC6" s="841" t="s">
        <v>1311</v>
      </c>
      <c r="AD6" s="543"/>
      <c r="AE6" s="1291"/>
      <c r="AF6" s="589" t="s">
        <v>1898</v>
      </c>
      <c r="AG6" s="593" t="s">
        <v>1897</v>
      </c>
      <c r="AH6" s="589" t="s">
        <v>1899</v>
      </c>
      <c r="AI6" s="1246"/>
      <c r="AJ6" s="1243"/>
      <c r="AK6" s="590" t="s">
        <v>707</v>
      </c>
      <c r="AL6" s="1243"/>
      <c r="AM6" s="590" t="s">
        <v>707</v>
      </c>
      <c r="AN6" s="1243"/>
      <c r="AO6" s="590" t="s">
        <v>707</v>
      </c>
      <c r="AP6" s="543"/>
      <c r="AQ6" s="1319"/>
      <c r="AR6" s="840" t="s">
        <v>1007</v>
      </c>
      <c r="AS6" s="840" t="s">
        <v>1008</v>
      </c>
      <c r="AT6" s="840" t="s">
        <v>1963</v>
      </c>
      <c r="AU6" s="1316"/>
      <c r="AV6" s="1313"/>
      <c r="AW6" s="1321"/>
      <c r="AX6" s="589" t="s">
        <v>1898</v>
      </c>
      <c r="AY6" s="593" t="s">
        <v>1897</v>
      </c>
      <c r="AZ6" s="589" t="s">
        <v>1899</v>
      </c>
      <c r="BA6" s="543"/>
      <c r="BB6" s="1266"/>
      <c r="BC6" s="1294"/>
      <c r="BD6" s="543"/>
      <c r="BE6" s="1296"/>
      <c r="BF6" s="1298"/>
      <c r="BG6" s="1260"/>
      <c r="BH6" s="1259"/>
      <c r="BI6" s="1259"/>
      <c r="BJ6" s="1260"/>
      <c r="BK6" s="1260"/>
      <c r="BL6" s="1269"/>
      <c r="BM6" s="543"/>
      <c r="BN6" s="589" t="s">
        <v>1951</v>
      </c>
      <c r="BO6" s="589" t="s">
        <v>1580</v>
      </c>
      <c r="BP6" s="589" t="s">
        <v>1628</v>
      </c>
      <c r="BQ6" s="589" t="s">
        <v>1581</v>
      </c>
      <c r="BR6" s="589" t="s">
        <v>1720</v>
      </c>
      <c r="BS6" s="589" t="s">
        <v>1721</v>
      </c>
      <c r="BT6" s="589" t="s">
        <v>2056</v>
      </c>
      <c r="BU6" s="589" t="s">
        <v>1724</v>
      </c>
      <c r="BV6" s="589" t="s">
        <v>1740</v>
      </c>
      <c r="BW6" s="589" t="s">
        <v>1625</v>
      </c>
      <c r="BX6" s="589" t="s">
        <v>1968</v>
      </c>
      <c r="BY6" s="1279"/>
      <c r="BZ6" s="1281"/>
      <c r="CA6" s="1308"/>
      <c r="CB6" s="1273"/>
      <c r="CC6" s="349"/>
      <c r="CD6" s="589" t="s">
        <v>1105</v>
      </c>
      <c r="CE6" s="589" t="s">
        <v>1108</v>
      </c>
      <c r="CF6" s="589" t="s">
        <v>1107</v>
      </c>
      <c r="CG6" s="589" t="s">
        <v>1109</v>
      </c>
      <c r="CH6" s="589" t="s">
        <v>1106</v>
      </c>
      <c r="CI6" s="589" t="s">
        <v>1110</v>
      </c>
      <c r="CJ6" s="589" t="s">
        <v>1111</v>
      </c>
      <c r="CK6" s="589" t="s">
        <v>1112</v>
      </c>
      <c r="CL6" s="589" t="s">
        <v>1113</v>
      </c>
      <c r="CM6" s="589" t="s">
        <v>1114</v>
      </c>
      <c r="CN6" s="589" t="s">
        <v>1115</v>
      </c>
      <c r="CO6" s="589" t="s">
        <v>1116</v>
      </c>
      <c r="CP6" s="589" t="s">
        <v>1117</v>
      </c>
      <c r="CQ6" s="589" t="s">
        <v>1118</v>
      </c>
      <c r="CR6" s="589" t="s">
        <v>1119</v>
      </c>
      <c r="CS6" s="589" t="s">
        <v>1120</v>
      </c>
      <c r="CT6" s="589" t="s">
        <v>1121</v>
      </c>
      <c r="CU6" s="589" t="s">
        <v>1122</v>
      </c>
    </row>
    <row r="7" spans="1:99" x14ac:dyDescent="0.25">
      <c r="A7" s="880"/>
      <c r="B7" s="881" t="s">
        <v>2404</v>
      </c>
      <c r="C7" s="880"/>
      <c r="D7" s="880"/>
      <c r="E7" s="885" t="s">
        <v>748</v>
      </c>
      <c r="F7" s="889">
        <v>1</v>
      </c>
      <c r="G7" s="881"/>
      <c r="H7" s="881" t="s">
        <v>19</v>
      </c>
      <c r="I7" s="886">
        <v>45462</v>
      </c>
      <c r="J7" s="882" t="s">
        <v>8</v>
      </c>
      <c r="K7" s="880"/>
      <c r="L7" s="880"/>
      <c r="M7" s="884">
        <v>0</v>
      </c>
      <c r="N7" s="884">
        <v>0</v>
      </c>
      <c r="O7" s="884">
        <v>0</v>
      </c>
      <c r="P7" s="884">
        <v>0</v>
      </c>
      <c r="Q7" s="884">
        <v>15</v>
      </c>
      <c r="R7" s="884">
        <f>ROUND(P7*Q7%,2)</f>
        <v>0</v>
      </c>
      <c r="S7" s="884">
        <v>0</v>
      </c>
      <c r="T7" s="884">
        <v>5</v>
      </c>
      <c r="U7" s="884">
        <f>ROUND(S7*T7%,2)</f>
        <v>0</v>
      </c>
      <c r="V7" s="884">
        <v>0</v>
      </c>
      <c r="W7" s="884">
        <v>8</v>
      </c>
      <c r="X7" s="884">
        <f>ROUND(V7*W7%,2)</f>
        <v>0</v>
      </c>
      <c r="Y7" s="884">
        <v>0</v>
      </c>
      <c r="Z7" s="884">
        <v>0</v>
      </c>
      <c r="AA7" s="884">
        <v>0</v>
      </c>
      <c r="AB7" s="884">
        <f>ROUND(SUM(M7:P7)+SUM(R7:S7)+SUM(U7:V7)+SUM(X7:AA7),2)</f>
        <v>0</v>
      </c>
      <c r="AC7" s="884">
        <v>0</v>
      </c>
      <c r="AD7" s="881"/>
      <c r="AE7" s="880"/>
      <c r="AF7" s="884"/>
      <c r="AG7" s="890"/>
      <c r="AH7" s="880"/>
      <c r="AI7" s="880" t="s">
        <v>1295</v>
      </c>
      <c r="AJ7" s="885">
        <v>411</v>
      </c>
      <c r="AK7" s="884">
        <f>IF(OR(AJ7=441,AJ7=444,AJ7=417,AJ7=418),IF(AJ7=441,SUM($M7:$N7)+SUM($Y7:$AA7),SUM($M7:$P7)+$S7+$V7),IF(AND(AJ7&gt;412,AJ7&lt;417),$O7,IF(OR(AJ7=411,AJ7=412),$P7,IF(AJ7=420,$V7,IF(AJ7=435,$S7,0)))))</f>
        <v>0</v>
      </c>
      <c r="AL7" s="885">
        <v>413</v>
      </c>
      <c r="AM7" s="884">
        <f>IF(OR(AL7=441,AL7=444,AL7=417,AL7=418),IF(AL7=441,SUM($M7:$N7)+SUM($Y7:$AA7),SUM($M7:$P7)+$S7+$V7),IF(AND(AL7&gt;412,AL7&lt;417),$O7,IF(OR(AL7=411,AL7=412),$P7,IF(AL7=420,$V7,IF(AL7=435,$S7,0)))))</f>
        <v>0</v>
      </c>
      <c r="AN7" s="885">
        <v>441</v>
      </c>
      <c r="AO7" s="884">
        <f>IF(OR(AN7=441,AN7=444,AN7=417,AN7=418),IF(AN7=441,SUM($M7:$N7)+SUM($Y7:$AA7),SUM($M7:$P7)+$S7+$V7),IF(AND(AN7&gt;412,AN7&lt;417),$O7,IF(OR(AN7=411,AN7=412),$P7,IF(AN7=420,$V7,IF(AN7=435,$S7,0)))))</f>
        <v>0</v>
      </c>
      <c r="AP7" s="881"/>
      <c r="AQ7" s="881"/>
      <c r="AR7" s="884">
        <v>0</v>
      </c>
      <c r="AS7" s="884">
        <v>0</v>
      </c>
      <c r="AT7" s="884">
        <v>0</v>
      </c>
      <c r="AU7" s="880"/>
      <c r="AV7" s="887"/>
      <c r="AW7" s="880"/>
      <c r="AX7" s="887"/>
      <c r="AY7" s="880"/>
      <c r="AZ7" s="880"/>
      <c r="BA7" s="881"/>
      <c r="BB7" s="881"/>
      <c r="BC7" s="881"/>
      <c r="BD7" s="881"/>
      <c r="BE7" s="885">
        <f>IF(ISNUMBER(I7),MONTH(I7),0)</f>
        <v>6</v>
      </c>
      <c r="BF7" s="888" t="str">
        <f>IF(ISNUMBER(I7),IF(ISERROR(HLOOKUP(MONTH(I7),meses_104,1,0)),"NO","SI"),"NO")</f>
        <v>NO</v>
      </c>
      <c r="BG7" s="884">
        <f>IF(ISBLANK(H7),0,IF(OR((VALUE(LEFT(H7,2))=4),((LEFT(H7,3))="372")),0,AK7))</f>
        <v>0</v>
      </c>
      <c r="BH7" s="884">
        <f>IF(ISBLANK(H7),0,IF(OR((VALUE(LEFT(H7,2))=4),((LEFT(H7,3))="372")),0,AM7))</f>
        <v>0</v>
      </c>
      <c r="BI7" s="884">
        <f>IF(ISBLANK(H7),0,IF(OR((VALUE(LEFT(H7,2))=4),((LEFT(H7,3))="372")),0,AO7))</f>
        <v>0</v>
      </c>
      <c r="BJ7" s="884">
        <f>SUM(M7:O7)+SUM(Y7:AA7)</f>
        <v>0</v>
      </c>
      <c r="BK7" s="884">
        <f>ROUND((IF(AJ7=444,(R7+U7+X7),0)+IF(AL7=444,(R7+U7+X7),0)+IF(AN7=444,(R7+U7+X7),0)),2)</f>
        <v>0</v>
      </c>
      <c r="BL7" s="884">
        <f>R7+U7+X7-BK7</f>
        <v>0</v>
      </c>
      <c r="BM7" s="881"/>
      <c r="BN7" s="880"/>
      <c r="BO7" s="882" t="s">
        <v>1639</v>
      </c>
      <c r="BP7" s="882" t="s">
        <v>2403</v>
      </c>
      <c r="BQ7" s="882" t="s">
        <v>2402</v>
      </c>
      <c r="BR7" s="880"/>
      <c r="BS7" s="880"/>
      <c r="BT7" s="880"/>
      <c r="BU7" s="880"/>
      <c r="BV7" s="880"/>
      <c r="BW7" s="884">
        <v>0</v>
      </c>
      <c r="BX7" s="884">
        <v>0</v>
      </c>
      <c r="BY7" s="884">
        <v>0</v>
      </c>
      <c r="BZ7" s="891"/>
      <c r="CA7" s="884">
        <f>ROUND((IF(OR(AJ7=413,AJ7=414),AK7,0)+IF(OR(AL7=413,AL7=414),AM7,0)+IF(OR(AN7=413,AN7=414),AO7,0)),2)</f>
        <v>0</v>
      </c>
      <c r="CB7" s="880"/>
      <c r="CC7" s="881"/>
      <c r="CD7" s="884"/>
      <c r="CE7" s="884"/>
      <c r="CF7" s="884"/>
      <c r="CG7" s="884"/>
      <c r="CH7" s="884"/>
      <c r="CI7" s="884"/>
      <c r="CJ7" s="884"/>
      <c r="CK7" s="884"/>
      <c r="CL7" s="884"/>
      <c r="CM7" s="884"/>
      <c r="CN7" s="884"/>
      <c r="CO7" s="884"/>
      <c r="CP7" s="884"/>
      <c r="CQ7" s="884"/>
      <c r="CR7" s="884"/>
      <c r="CS7" s="884"/>
      <c r="CT7" s="884"/>
      <c r="CU7" s="884"/>
    </row>
    <row r="8" spans="1:99" x14ac:dyDescent="0.25">
      <c r="A8" s="880"/>
      <c r="B8" s="881" t="s">
        <v>2404</v>
      </c>
      <c r="C8" s="880"/>
      <c r="D8" s="880"/>
      <c r="E8" s="885" t="s">
        <v>748</v>
      </c>
      <c r="F8" s="889">
        <v>1</v>
      </c>
      <c r="G8" s="881"/>
      <c r="H8" s="881" t="s">
        <v>19</v>
      </c>
      <c r="I8" s="886">
        <v>45462</v>
      </c>
      <c r="J8" s="882" t="s">
        <v>8</v>
      </c>
      <c r="K8" s="880"/>
      <c r="L8" s="880"/>
      <c r="M8" s="884">
        <v>0</v>
      </c>
      <c r="N8" s="884">
        <v>0</v>
      </c>
      <c r="O8" s="884">
        <v>0</v>
      </c>
      <c r="P8" s="884">
        <v>0</v>
      </c>
      <c r="Q8" s="884">
        <v>15</v>
      </c>
      <c r="R8" s="884">
        <f>ROUND(P8*Q8%,2)</f>
        <v>0</v>
      </c>
      <c r="S8" s="884">
        <v>0</v>
      </c>
      <c r="T8" s="884">
        <v>5</v>
      </c>
      <c r="U8" s="884">
        <f>ROUND(S8*T8%,2)</f>
        <v>0</v>
      </c>
      <c r="V8" s="884">
        <v>0</v>
      </c>
      <c r="W8" s="884">
        <v>8</v>
      </c>
      <c r="X8" s="884">
        <f>ROUND(V8*W8%,2)</f>
        <v>0</v>
      </c>
      <c r="Y8" s="884">
        <v>0</v>
      </c>
      <c r="Z8" s="884">
        <v>0</v>
      </c>
      <c r="AA8" s="884">
        <v>0</v>
      </c>
      <c r="AB8" s="884">
        <f>ROUND(SUM(M8:P8)+SUM(R8:S8)+SUM(U8:V8)+SUM(X8:AA8),2)</f>
        <v>0</v>
      </c>
      <c r="AC8" s="884">
        <v>0</v>
      </c>
      <c r="AD8" s="881"/>
      <c r="AE8" s="880"/>
      <c r="AF8" s="884"/>
      <c r="AG8" s="890"/>
      <c r="AH8" s="880"/>
      <c r="AI8" s="880" t="s">
        <v>1295</v>
      </c>
      <c r="AJ8" s="885">
        <v>411</v>
      </c>
      <c r="AK8" s="884">
        <f>IF(OR(AJ8=441,AJ8=444,AJ8=417,AJ8=418),IF(AJ8=441,SUM($M8:$N8)+SUM($Y8:$AA8),SUM($M8:$P8)+$S8+$V8),IF(AND(AJ8&gt;412,AJ8&lt;417),$O8,IF(OR(AJ8=411,AJ8=412),$P8,IF(AJ8=420,$V8,IF(AJ8=435,$S8,0)))))</f>
        <v>0</v>
      </c>
      <c r="AL8" s="885">
        <v>413</v>
      </c>
      <c r="AM8" s="884">
        <f>IF(OR(AL8=441,AL8=444,AL8=417,AL8=418),IF(AL8=441,SUM($M8:$N8)+SUM($Y8:$AA8),SUM($M8:$P8)+$S8+$V8),IF(AND(AL8&gt;412,AL8&lt;417),$O8,IF(OR(AL8=411,AL8=412),$P8,IF(AL8=420,$V8,IF(AL8=435,$S8,0)))))</f>
        <v>0</v>
      </c>
      <c r="AN8" s="885">
        <v>441</v>
      </c>
      <c r="AO8" s="884">
        <f>IF(OR(AN8=441,AN8=444,AN8=417,AN8=418),IF(AN8=441,SUM($M8:$N8)+SUM($Y8:$AA8),SUM($M8:$P8)+$S8+$V8),IF(AND(AN8&gt;412,AN8&lt;417),$O8,IF(OR(AN8=411,AN8=412),$P8,IF(AN8=420,$V8,IF(AN8=435,$S8,0)))))</f>
        <v>0</v>
      </c>
      <c r="AP8" s="881"/>
      <c r="AQ8" s="881"/>
      <c r="AR8" s="884">
        <v>0</v>
      </c>
      <c r="AS8" s="884">
        <v>0</v>
      </c>
      <c r="AT8" s="884">
        <v>0</v>
      </c>
      <c r="AU8" s="880"/>
      <c r="AV8" s="887"/>
      <c r="AW8" s="880"/>
      <c r="AX8" s="887"/>
      <c r="AY8" s="880"/>
      <c r="AZ8" s="880"/>
      <c r="BA8" s="881"/>
      <c r="BB8" s="881"/>
      <c r="BC8" s="881"/>
      <c r="BD8" s="881"/>
      <c r="BE8" s="885">
        <f>IF(ISNUMBER(I8),MONTH(I8),0)</f>
        <v>6</v>
      </c>
      <c r="BF8" s="888" t="str">
        <f>IF(ISNUMBER(I8),IF(ISERROR(HLOOKUP(MONTH(I8),meses_104,1,0)),"NO","SI"),"NO")</f>
        <v>NO</v>
      </c>
      <c r="BG8" s="884">
        <f>IF(ISBLANK(H8),0,IF(OR((VALUE(LEFT(H8,2))=4),((LEFT(H8,3))="372")),0,AK8))</f>
        <v>0</v>
      </c>
      <c r="BH8" s="884">
        <f>IF(ISBLANK(H8),0,IF(OR((VALUE(LEFT(H8,2))=4),((LEFT(H8,3))="372")),0,AM8))</f>
        <v>0</v>
      </c>
      <c r="BI8" s="884">
        <f>IF(ISBLANK(H8),0,IF(OR((VALUE(LEFT(H8,2))=4),((LEFT(H8,3))="372")),0,AO8))</f>
        <v>0</v>
      </c>
      <c r="BJ8" s="884">
        <f>SUM(M8:O8)+SUM(Y8:AA8)</f>
        <v>0</v>
      </c>
      <c r="BK8" s="884">
        <f>ROUND((IF(AJ8=444,(R8+U8+X8),0)+IF(AL8=444,(R8+U8+X8),0)+IF(AN8=444,(R8+U8+X8),0)),2)</f>
        <v>0</v>
      </c>
      <c r="BL8" s="884">
        <f>R8+U8+X8-BK8</f>
        <v>0</v>
      </c>
      <c r="BM8" s="881"/>
      <c r="BN8" s="880"/>
      <c r="BO8" s="882" t="s">
        <v>1639</v>
      </c>
      <c r="BP8" s="882" t="s">
        <v>2403</v>
      </c>
      <c r="BQ8" s="882" t="s">
        <v>2402</v>
      </c>
      <c r="BR8" s="880"/>
      <c r="BS8" s="880"/>
      <c r="BT8" s="880"/>
      <c r="BU8" s="880"/>
      <c r="BV8" s="880"/>
      <c r="BW8" s="884">
        <v>0</v>
      </c>
      <c r="BX8" s="884">
        <v>0</v>
      </c>
      <c r="BY8" s="884">
        <v>0</v>
      </c>
      <c r="BZ8" s="891"/>
      <c r="CA8" s="884">
        <f>ROUND((IF(OR(AJ8=413,AJ8=414),AK8,0)+IF(OR(AL8=413,AL8=414),AM8,0)+IF(OR(AN8=413,AN8=414),AO8,0)),2)</f>
        <v>0</v>
      </c>
      <c r="CB8" s="880"/>
      <c r="CC8" s="881"/>
      <c r="CD8" s="884"/>
      <c r="CE8" s="884"/>
      <c r="CF8" s="884"/>
      <c r="CG8" s="884"/>
      <c r="CH8" s="884"/>
      <c r="CI8" s="884"/>
      <c r="CJ8" s="884"/>
      <c r="CK8" s="884"/>
      <c r="CL8" s="884"/>
      <c r="CM8" s="884"/>
      <c r="CN8" s="884"/>
      <c r="CO8" s="884"/>
      <c r="CP8" s="884"/>
      <c r="CQ8" s="884"/>
      <c r="CR8" s="884"/>
      <c r="CS8" s="884"/>
      <c r="CT8" s="884"/>
      <c r="CU8" s="884"/>
    </row>
    <row r="9" spans="1:99" x14ac:dyDescent="0.25">
      <c r="A9" s="863"/>
      <c r="B9" s="434" t="s">
        <v>2404</v>
      </c>
      <c r="C9" s="863"/>
      <c r="D9" s="863"/>
      <c r="E9" s="867" t="s">
        <v>748</v>
      </c>
      <c r="F9" s="875">
        <v>1</v>
      </c>
      <c r="G9" s="434"/>
      <c r="H9" s="434" t="s">
        <v>19</v>
      </c>
      <c r="I9" s="865">
        <v>45462</v>
      </c>
      <c r="J9" s="864" t="s">
        <v>8</v>
      </c>
      <c r="K9" s="863"/>
      <c r="L9" s="863"/>
      <c r="M9" s="866">
        <v>0</v>
      </c>
      <c r="N9" s="866">
        <v>0</v>
      </c>
      <c r="O9" s="866">
        <v>0</v>
      </c>
      <c r="P9" s="866">
        <v>0</v>
      </c>
      <c r="Q9" s="866">
        <v>15</v>
      </c>
      <c r="R9" s="866">
        <f>ROUND(P9*Q9%,2)</f>
        <v>0</v>
      </c>
      <c r="S9" s="866">
        <v>0</v>
      </c>
      <c r="T9" s="866">
        <v>5</v>
      </c>
      <c r="U9" s="866">
        <f>ROUND(S9*T9%,2)</f>
        <v>0</v>
      </c>
      <c r="V9" s="866">
        <v>0</v>
      </c>
      <c r="W9" s="866">
        <v>8</v>
      </c>
      <c r="X9" s="866">
        <f>ROUND(V9*W9%,2)</f>
        <v>0</v>
      </c>
      <c r="Y9" s="866">
        <v>0</v>
      </c>
      <c r="Z9" s="866">
        <v>0</v>
      </c>
      <c r="AA9" s="866">
        <v>0</v>
      </c>
      <c r="AB9" s="866">
        <f>ROUND(SUM(M9:P9)+SUM(R9:S9)+SUM(U9:V9)+SUM(X9:AA9),2)</f>
        <v>0</v>
      </c>
      <c r="AC9" s="866">
        <v>0</v>
      </c>
      <c r="AD9" s="434"/>
      <c r="AE9" s="863"/>
      <c r="AF9" s="866"/>
      <c r="AG9" s="876"/>
      <c r="AH9" s="863"/>
      <c r="AI9" s="863" t="s">
        <v>1295</v>
      </c>
      <c r="AJ9" s="867">
        <v>411</v>
      </c>
      <c r="AK9" s="866">
        <f>IF(OR(AJ9=441,AJ9=444,AJ9=417,AJ9=418),IF(AJ9=441,SUM($M9:$N9)+SUM($Y9:$AA9),SUM($M9:$P9)+$S9+$V9),IF(AND(AJ9&gt;412,AJ9&lt;417),$O9,IF(OR(AJ9=411,AJ9=412),$P9,IF(AJ9=420,$V9,IF(AJ9=435,$S9,0)))))</f>
        <v>0</v>
      </c>
      <c r="AL9" s="867">
        <v>413</v>
      </c>
      <c r="AM9" s="866">
        <f>IF(OR(AL9=441,AL9=444,AL9=417,AL9=418),IF(AL9=441,SUM($M9:$N9)+SUM($Y9:$AA9),SUM($M9:$P9)+$S9+$V9),IF(AND(AL9&gt;412,AL9&lt;417),$O9,IF(OR(AL9=411,AL9=412),$P9,IF(AL9=420,$V9,IF(AL9=435,$S9,0)))))</f>
        <v>0</v>
      </c>
      <c r="AN9" s="867">
        <v>441</v>
      </c>
      <c r="AO9" s="866">
        <f>IF(OR(AN9=441,AN9=444,AN9=417,AN9=418),IF(AN9=441,SUM($M9:$N9)+SUM($Y9:$AA9),SUM($M9:$P9)+$S9+$V9),IF(AND(AN9&gt;412,AN9&lt;417),$O9,IF(OR(AN9=411,AN9=412),$P9,IF(AN9=420,$V9,IF(AN9=435,$S9,0)))))</f>
        <v>0</v>
      </c>
      <c r="AP9" s="434"/>
      <c r="AQ9" s="434"/>
      <c r="AR9" s="866">
        <v>0</v>
      </c>
      <c r="AS9" s="866">
        <v>0</v>
      </c>
      <c r="AT9" s="866">
        <v>0</v>
      </c>
      <c r="AU9" s="863"/>
      <c r="AV9" s="871"/>
      <c r="AW9" s="863"/>
      <c r="AX9" s="871"/>
      <c r="AY9" s="863"/>
      <c r="AZ9" s="863"/>
      <c r="BA9" s="434"/>
      <c r="BB9" s="434"/>
      <c r="BC9" s="434"/>
      <c r="BD9" s="434"/>
      <c r="BE9" s="867">
        <f>IF(ISNUMBER(I9),MONTH(I9),0)</f>
        <v>6</v>
      </c>
      <c r="BF9" s="872" t="str">
        <f>IF(ISNUMBER(I9),IF(ISERROR(HLOOKUP(MONTH(I9),meses_104,1,0)),"NO","SI"),"NO")</f>
        <v>NO</v>
      </c>
      <c r="BG9" s="866">
        <f>IF(ISBLANK(H9),0,IF(OR((VALUE(LEFT(H9,2))=4),((LEFT(H9,3))="372")),0,AK9))</f>
        <v>0</v>
      </c>
      <c r="BH9" s="866">
        <f>IF(ISBLANK(H9),0,IF(OR((VALUE(LEFT(H9,2))=4),((LEFT(H9,3))="372")),0,AM9))</f>
        <v>0</v>
      </c>
      <c r="BI9" s="866">
        <f>IF(ISBLANK(H9),0,IF(OR((VALUE(LEFT(H9,2))=4),((LEFT(H9,3))="372")),0,AO9))</f>
        <v>0</v>
      </c>
      <c r="BJ9" s="866">
        <f>SUM(M9:O9)+SUM(Y9:AA9)</f>
        <v>0</v>
      </c>
      <c r="BK9" s="866">
        <f>ROUND((IF(AJ9=444,(R9+U9+X9),0)+IF(AL9=444,(R9+U9+X9),0)+IF(AN9=444,(R9+U9+X9),0)),2)</f>
        <v>0</v>
      </c>
      <c r="BL9" s="866">
        <f>R9+U9+X9-BK9</f>
        <v>0</v>
      </c>
      <c r="BM9" s="434"/>
      <c r="BN9" s="863"/>
      <c r="BO9" s="864" t="s">
        <v>1639</v>
      </c>
      <c r="BP9" s="864" t="s">
        <v>2403</v>
      </c>
      <c r="BQ9" s="864" t="s">
        <v>2402</v>
      </c>
      <c r="BR9" s="863"/>
      <c r="BS9" s="863"/>
      <c r="BT9" s="863"/>
      <c r="BU9" s="863"/>
      <c r="BV9" s="863"/>
      <c r="BW9" s="866">
        <v>0</v>
      </c>
      <c r="BX9" s="866">
        <v>0</v>
      </c>
      <c r="BY9" s="866">
        <v>0</v>
      </c>
      <c r="BZ9" s="877"/>
      <c r="CA9" s="866">
        <f>ROUND((IF(OR(AJ9=413,AJ9=414),AK9,0)+IF(OR(AL9=413,AL9=414),AM9,0)+IF(OR(AN9=413,AN9=414),AO9,0)),2)</f>
        <v>0</v>
      </c>
      <c r="CB9" s="863"/>
      <c r="CC9" s="434"/>
      <c r="CD9" s="866"/>
      <c r="CE9" s="866"/>
      <c r="CF9" s="866"/>
      <c r="CG9" s="866"/>
      <c r="CH9" s="866"/>
      <c r="CI9" s="866"/>
      <c r="CJ9" s="866"/>
      <c r="CK9" s="866"/>
      <c r="CL9" s="866"/>
      <c r="CM9" s="866"/>
      <c r="CN9" s="866"/>
      <c r="CO9" s="866"/>
      <c r="CP9" s="866"/>
      <c r="CQ9" s="866"/>
      <c r="CR9" s="866"/>
      <c r="CS9" s="866"/>
      <c r="CT9" s="866"/>
      <c r="CU9" s="866"/>
    </row>
  </sheetData>
  <autoFilter ref="A6:CV6" xr:uid="{EF8F69D7-DA0E-405D-8DD9-717CC70B161A}"/>
  <mergeCells count="43">
    <mergeCell ref="AI5:AI6"/>
    <mergeCell ref="AW5:AW6"/>
    <mergeCell ref="A5:A6"/>
    <mergeCell ref="BE5:BE6"/>
    <mergeCell ref="L5:L6"/>
    <mergeCell ref="K5:K6"/>
    <mergeCell ref="J5:J6"/>
    <mergeCell ref="I5:I6"/>
    <mergeCell ref="H5:H6"/>
    <mergeCell ref="T5:T6"/>
    <mergeCell ref="W5:W6"/>
    <mergeCell ref="BF5:BF6"/>
    <mergeCell ref="BK5:BK6"/>
    <mergeCell ref="BG5:BG6"/>
    <mergeCell ref="C5:C6"/>
    <mergeCell ref="B5:B6"/>
    <mergeCell ref="AU5:AU6"/>
    <mergeCell ref="AF5:AH5"/>
    <mergeCell ref="AJ5:AJ6"/>
    <mergeCell ref="AL5:AL6"/>
    <mergeCell ref="AN5:AN6"/>
    <mergeCell ref="AX5:AZ5"/>
    <mergeCell ref="AE5:AE6"/>
    <mergeCell ref="BI5:BI6"/>
    <mergeCell ref="D5:D6"/>
    <mergeCell ref="Q5:Q6"/>
    <mergeCell ref="AQ5:AQ6"/>
    <mergeCell ref="CJ4:CU4"/>
    <mergeCell ref="CD4:CI4"/>
    <mergeCell ref="G5:G6"/>
    <mergeCell ref="F5:F6"/>
    <mergeCell ref="E5:E6"/>
    <mergeCell ref="CA5:CA6"/>
    <mergeCell ref="CB5:CB6"/>
    <mergeCell ref="BN5:BX5"/>
    <mergeCell ref="BY5:BY6"/>
    <mergeCell ref="BZ5:BZ6"/>
    <mergeCell ref="BL5:BL6"/>
    <mergeCell ref="BJ5:BJ6"/>
    <mergeCell ref="BH5:BH6"/>
    <mergeCell ref="BC5:BC6"/>
    <mergeCell ref="BB5:BB6"/>
    <mergeCell ref="AV5:AV6"/>
  </mergeCells>
  <phoneticPr fontId="55" type="noConversion"/>
  <conditionalFormatting sqref="A7:AD60 AF7:CV60">
    <cfRule type="expression" dxfId="7" priority="33">
      <formula>ROW()=RowVEN</formula>
    </cfRule>
  </conditionalFormatting>
  <dataValidations count="11">
    <dataValidation type="list" allowBlank="1" showInputMessage="1" showErrorMessage="1" sqref="AQ7:AQ1048576 G7:G1048576" xr:uid="{00000000-0002-0000-0300-000001000000}">
      <formula1>"F-Fisico,E-Electronico"</formula1>
    </dataValidation>
    <dataValidation type="list" allowBlank="1" showInputMessage="1" showErrorMessage="1" sqref="D7:D1048576" xr:uid="{00000000-0002-0000-0300-000002000000}">
      <formula1>"01-Persona Natural,02-Sociedad"</formula1>
    </dataValidation>
    <dataValidation type="list" allowBlank="1" showInputMessage="1" showErrorMessage="1" errorTitle="Anexos con Excel" error="Debe seleccionar 12 o 14" sqref="Q7:Q1048576 W7:W1048576 T7:T1048576" xr:uid="{79BAAA20-D8A9-485A-877F-76C88D741375}">
      <formula1>tarifasIVA</formula1>
    </dataValidation>
    <dataValidation type="list" allowBlank="1" showInputMessage="1" showErrorMessage="1" sqref="E7:E1048576" xr:uid="{00000000-0002-0000-0300-000004000000}">
      <formula1>"SI,NO"</formula1>
    </dataValidation>
    <dataValidation type="textLength" errorStyle="warning" operator="equal" allowBlank="1" showInputMessage="1" showErrorMessage="1" errorTitle="Validación de datos" error="Debe ingresar los 3 caracteres correspondientes en cada celda ó dejarla vacia de ser el caso." sqref="J7:J1048576" xr:uid="{00000000-0002-0000-0300-000005000000}">
      <formula1>3</formula1>
    </dataValidation>
    <dataValidation type="list" allowBlank="1" showInputMessage="1" showErrorMessage="1" sqref="B7:B1048576" xr:uid="{00000000-0002-0000-0300-000006000000}">
      <formula1>"R-Ruc,C-Cédula,F-Consumidor Final,P-Pasaporte,E-ID Exterior,M-Placa/RAMV/CPN"</formula1>
    </dataValidation>
    <dataValidation type="list" allowBlank="1" showInputMessage="1" showErrorMessage="1" sqref="H7:H1048576" xr:uid="{00000000-0002-0000-0300-000007000000}">
      <formula1>ComprobantesVEN</formula1>
    </dataValidation>
    <dataValidation type="list" allowBlank="1" showInputMessage="1" showErrorMessage="1" sqref="AI7:AI1048576" xr:uid="{D8226DA5-093E-4A3D-B2B9-26D9D26F9556}">
      <formula1>ListaActividades</formula1>
    </dataValidation>
    <dataValidation type="list" allowBlank="1" showInputMessage="1" showErrorMessage="1" sqref="AF7:AF1048576" xr:uid="{19BBE5F8-4DC0-4706-BB44-4BC89F381B34}">
      <formula1>gruContable</formula1>
    </dataValidation>
    <dataValidation type="list" allowBlank="1" showInputMessage="1" showErrorMessage="1" sqref="AX7:AX1048576" xr:uid="{90C7B464-462B-4FBB-962F-4776E935A41C}">
      <formula1>gruContableING</formula1>
    </dataValidation>
    <dataValidation type="list" allowBlank="1" showInputMessage="1" showErrorMessage="1" sqref="BB7:BC1048576" xr:uid="{A22F1125-CCE2-4FC8-AA82-678D8790E2B4}">
      <formula1>IF($H7="04-Nota de credito","",pagos)</formula1>
    </dataValidation>
  </dataValidations>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A1:AF9"/>
  <sheetViews>
    <sheetView showGridLines="0" zoomScaleNormal="100" workbookViewId="0">
      <pane xSplit="3" ySplit="6" topLeftCell="D7" activePane="bottomRight" state="frozen"/>
      <selection activeCell="D7" sqref="D7"/>
      <selection pane="topRight" activeCell="D7" sqref="D7"/>
      <selection pane="bottomLeft" activeCell="D7" sqref="D7"/>
      <selection pane="bottomRight" activeCell="D7" sqref="D7"/>
    </sheetView>
  </sheetViews>
  <sheetFormatPr baseColWidth="10" defaultColWidth="10.81640625" defaultRowHeight="11.5" outlineLevelCol="1" x14ac:dyDescent="0.25"/>
  <cols>
    <col min="1" max="1" width="15" style="350" customWidth="1"/>
    <col min="2" max="2" width="27.54296875" style="350" customWidth="1"/>
    <col min="3" max="3" width="15.453125" style="350" customWidth="1"/>
    <col min="4" max="4" width="9.26953125" style="333" customWidth="1"/>
    <col min="5" max="5" width="14.26953125" style="350" customWidth="1"/>
    <col min="6" max="6" width="19.54296875" style="350" customWidth="1"/>
    <col min="7" max="8" width="12.1796875" style="333" customWidth="1"/>
    <col min="9" max="9" width="18.26953125" style="333" customWidth="1"/>
    <col min="10" max="11" width="5.81640625" style="368" customWidth="1"/>
    <col min="12" max="12" width="10.81640625" style="350"/>
    <col min="13" max="13" width="18.81640625" style="350" customWidth="1"/>
    <col min="14" max="14" width="11.7265625" style="352" customWidth="1"/>
    <col min="15" max="16" width="11.453125" style="353" customWidth="1" outlineLevel="1"/>
    <col min="17" max="18" width="10.81640625" style="353"/>
    <col min="19" max="19" width="8" style="353" customWidth="1"/>
    <col min="20" max="20" width="10.81640625" style="353"/>
    <col min="21" max="21" width="9.26953125" style="351" customWidth="1" outlineLevel="1"/>
    <col min="22" max="24" width="10.81640625" style="353" customWidth="1" outlineLevel="1"/>
    <col min="25" max="25" width="10.81640625" style="353"/>
    <col min="26" max="26" width="10.81640625" style="353" customWidth="1"/>
    <col min="27" max="27" width="30" style="350" customWidth="1"/>
    <col min="28" max="28" width="10.54296875" style="350" customWidth="1" outlineLevel="1"/>
    <col min="29" max="29" width="7.81640625" style="368" customWidth="1" outlineLevel="1"/>
    <col min="30" max="30" width="10" style="350" customWidth="1" outlineLevel="1"/>
    <col min="31" max="31" width="19.7265625" style="333" customWidth="1" outlineLevel="1"/>
    <col min="32" max="32" width="5.1796875" style="368" customWidth="1" outlineLevel="1"/>
    <col min="33" max="16384" width="10.81640625" style="333"/>
  </cols>
  <sheetData>
    <row r="1" spans="1:32" ht="20.149999999999999" customHeight="1" x14ac:dyDescent="0.25">
      <c r="A1" s="372" t="str">
        <f>Parametros!D4&amp;" - "&amp;Parametros!D5</f>
        <v>1306304542001 - VELIZ NAPA JAVIER</v>
      </c>
      <c r="B1" s="323"/>
      <c r="C1" s="322"/>
      <c r="D1" s="322"/>
      <c r="E1" s="322"/>
      <c r="F1" s="322"/>
      <c r="G1" s="322"/>
      <c r="H1" s="322"/>
      <c r="I1" s="322"/>
      <c r="J1" s="323"/>
      <c r="K1" s="323"/>
      <c r="L1" s="322"/>
      <c r="M1" s="322"/>
      <c r="N1" s="324"/>
      <c r="O1" s="326"/>
      <c r="P1" s="326"/>
      <c r="Q1" s="326"/>
      <c r="R1" s="326"/>
      <c r="S1" s="326"/>
      <c r="T1" s="326"/>
      <c r="U1" s="321"/>
      <c r="V1" s="326"/>
      <c r="W1" s="326"/>
      <c r="X1" s="326"/>
      <c r="Y1" s="326"/>
      <c r="Z1" s="326"/>
      <c r="AA1" s="367"/>
      <c r="AB1" s="367"/>
      <c r="AC1" s="566"/>
      <c r="AD1" s="367"/>
      <c r="AE1" s="325"/>
      <c r="AF1" s="566"/>
    </row>
    <row r="2" spans="1:32" ht="19.5" customHeight="1" x14ac:dyDescent="0.25">
      <c r="A2" s="373" t="s">
        <v>1294</v>
      </c>
      <c r="B2" s="334"/>
      <c r="C2" s="334"/>
      <c r="D2" s="322"/>
      <c r="E2" s="322"/>
      <c r="F2" s="322"/>
      <c r="G2" s="322"/>
      <c r="H2" s="322"/>
      <c r="I2" s="322"/>
      <c r="J2" s="323"/>
      <c r="K2" s="323"/>
      <c r="L2" s="322"/>
      <c r="M2" s="322"/>
      <c r="N2" s="324"/>
      <c r="O2" s="326"/>
      <c r="P2" s="326"/>
      <c r="Q2" s="326"/>
      <c r="R2" s="326"/>
      <c r="S2" s="326"/>
      <c r="T2" s="326"/>
      <c r="U2" s="321"/>
      <c r="V2" s="326"/>
      <c r="W2" s="326"/>
      <c r="X2" s="326"/>
      <c r="Y2" s="326"/>
      <c r="Z2" s="326"/>
      <c r="AA2" s="367"/>
      <c r="AB2" s="367"/>
      <c r="AC2" s="566"/>
      <c r="AD2" s="367"/>
      <c r="AE2" s="325"/>
      <c r="AF2" s="566"/>
    </row>
    <row r="3" spans="1:32" ht="16" hidden="1" customHeight="1" x14ac:dyDescent="0.25">
      <c r="A3" s="336"/>
      <c r="B3" s="338"/>
      <c r="C3" s="338"/>
      <c r="D3" s="338"/>
      <c r="E3" s="338"/>
      <c r="F3" s="338"/>
      <c r="G3" s="338"/>
      <c r="H3" s="338"/>
      <c r="I3" s="338"/>
      <c r="J3" s="338"/>
      <c r="K3" s="338"/>
      <c r="L3" s="338"/>
      <c r="M3" s="338"/>
      <c r="N3" s="339"/>
      <c r="O3" s="340"/>
      <c r="P3" s="340"/>
      <c r="Q3" s="340"/>
      <c r="R3" s="340"/>
      <c r="S3" s="340"/>
      <c r="T3" s="340"/>
      <c r="U3" s="337"/>
      <c r="V3" s="340"/>
      <c r="W3" s="340"/>
      <c r="X3" s="340"/>
      <c r="Y3" s="340"/>
      <c r="Z3" s="340"/>
      <c r="AA3" s="336"/>
      <c r="AB3" s="336"/>
      <c r="AC3" s="336"/>
      <c r="AD3" s="336"/>
      <c r="AE3" s="337"/>
      <c r="AF3" s="336"/>
    </row>
    <row r="4" spans="1:32" s="615" customFormat="1" ht="14.5" customHeight="1" x14ac:dyDescent="0.25">
      <c r="A4" s="370"/>
      <c r="B4" s="371" t="str">
        <f>"# Registros REEMBOLSOS : " &amp; COUNTIF(N:N,"&gt;0")</f>
        <v># Registros REEMBOLSOS : 3</v>
      </c>
      <c r="C4" s="598"/>
      <c r="D4" s="565" t="s">
        <v>1328</v>
      </c>
      <c r="E4" s="601"/>
      <c r="F4" s="601"/>
      <c r="G4" s="597"/>
      <c r="H4" s="597"/>
      <c r="I4" s="601"/>
      <c r="J4" s="601"/>
      <c r="K4" s="601"/>
      <c r="L4" s="601"/>
      <c r="M4" s="601"/>
      <c r="N4" s="620"/>
      <c r="O4" s="599" t="s">
        <v>1329</v>
      </c>
      <c r="P4" s="537"/>
      <c r="Q4" s="537"/>
      <c r="R4" s="600"/>
      <c r="S4" s="599" t="s">
        <v>2060</v>
      </c>
      <c r="T4" s="537"/>
      <c r="U4" s="646"/>
      <c r="V4" s="537"/>
      <c r="W4" s="537"/>
      <c r="X4" s="537"/>
      <c r="Y4" s="537"/>
      <c r="Z4" s="600"/>
      <c r="AA4" s="650"/>
      <c r="AB4" s="651"/>
      <c r="AC4" s="652"/>
      <c r="AD4" s="651"/>
      <c r="AE4" s="613"/>
      <c r="AF4" s="652"/>
    </row>
    <row r="5" spans="1:32" ht="16" customHeight="1" x14ac:dyDescent="0.25">
      <c r="A5" s="1286" t="s">
        <v>683</v>
      </c>
      <c r="B5" s="1288" t="s">
        <v>998</v>
      </c>
      <c r="C5" s="1288" t="s">
        <v>1330</v>
      </c>
      <c r="D5" s="1284" t="s">
        <v>684</v>
      </c>
      <c r="E5" s="1288" t="s">
        <v>683</v>
      </c>
      <c r="F5" s="1288" t="s">
        <v>998</v>
      </c>
      <c r="G5" s="1284" t="s">
        <v>686</v>
      </c>
      <c r="H5" s="1284" t="s">
        <v>1004</v>
      </c>
      <c r="I5" s="1284" t="s">
        <v>688</v>
      </c>
      <c r="J5" s="1288" t="s">
        <v>689</v>
      </c>
      <c r="K5" s="1288" t="s">
        <v>690</v>
      </c>
      <c r="L5" s="1288" t="s">
        <v>691</v>
      </c>
      <c r="M5" s="1288" t="s">
        <v>692</v>
      </c>
      <c r="N5" s="1282" t="s">
        <v>693</v>
      </c>
      <c r="O5" s="812">
        <f>SUBTOTAL(9,O$6:O969)</f>
        <v>0</v>
      </c>
      <c r="P5" s="813">
        <f>SUBTOTAL(9,P$6:P969)</f>
        <v>0</v>
      </c>
      <c r="Q5" s="592">
        <f>SUBTOTAL(9,Q$6:Q969)</f>
        <v>0</v>
      </c>
      <c r="R5" s="592">
        <f>SUBTOTAL(9,R$6:R969)</f>
        <v>0</v>
      </c>
      <c r="S5" s="1329" t="s">
        <v>703</v>
      </c>
      <c r="T5" s="592">
        <f>SUBTOTAL(9,T$6:T969)</f>
        <v>0</v>
      </c>
      <c r="U5" s="1331" t="s">
        <v>705</v>
      </c>
      <c r="V5" s="812">
        <f>SUBTOTAL(9,V$6:V969)</f>
        <v>0</v>
      </c>
      <c r="W5" s="812">
        <f>SUBTOTAL(9,W$6:W969)</f>
        <v>0</v>
      </c>
      <c r="X5" s="813">
        <f>SUBTOTAL(9,X$6:X969)</f>
        <v>0</v>
      </c>
      <c r="Y5" s="592">
        <f>SUBTOTAL(9,Y$6:Y969)</f>
        <v>0</v>
      </c>
      <c r="Z5" s="592">
        <f>SUBTOTAL(9,Z$6:Z969)</f>
        <v>0</v>
      </c>
      <c r="AA5" s="1292" t="s">
        <v>2211</v>
      </c>
      <c r="AB5" s="1333" t="s">
        <v>1627</v>
      </c>
      <c r="AC5" s="1337" t="s">
        <v>1616</v>
      </c>
      <c r="AD5" s="1333" t="s">
        <v>1615</v>
      </c>
      <c r="AE5" s="1335" t="s">
        <v>1626</v>
      </c>
      <c r="AF5" s="1333" t="s">
        <v>2251</v>
      </c>
    </row>
    <row r="6" spans="1:32" ht="47.15" customHeight="1" x14ac:dyDescent="0.25">
      <c r="A6" s="1287"/>
      <c r="B6" s="1289"/>
      <c r="C6" s="1289"/>
      <c r="D6" s="1285"/>
      <c r="E6" s="1289"/>
      <c r="F6" s="1289"/>
      <c r="G6" s="1285"/>
      <c r="H6" s="1285"/>
      <c r="I6" s="1285"/>
      <c r="J6" s="1289"/>
      <c r="K6" s="1289"/>
      <c r="L6" s="1289"/>
      <c r="M6" s="1289"/>
      <c r="N6" s="1283"/>
      <c r="O6" s="862" t="s">
        <v>699</v>
      </c>
      <c r="P6" s="862" t="s">
        <v>700</v>
      </c>
      <c r="Q6" s="859" t="s">
        <v>701</v>
      </c>
      <c r="R6" s="859" t="s">
        <v>702</v>
      </c>
      <c r="S6" s="1330"/>
      <c r="T6" s="859" t="s">
        <v>704</v>
      </c>
      <c r="U6" s="1332"/>
      <c r="V6" s="862" t="s">
        <v>999</v>
      </c>
      <c r="W6" s="862" t="s">
        <v>1312</v>
      </c>
      <c r="X6" s="862" t="s">
        <v>1969</v>
      </c>
      <c r="Y6" s="859" t="s">
        <v>1000</v>
      </c>
      <c r="Z6" s="862" t="s">
        <v>1311</v>
      </c>
      <c r="AA6" s="1293"/>
      <c r="AB6" s="1334"/>
      <c r="AC6" s="1338"/>
      <c r="AD6" s="1334"/>
      <c r="AE6" s="1336"/>
      <c r="AF6" s="1334"/>
    </row>
    <row r="7" spans="1:32" x14ac:dyDescent="0.25">
      <c r="A7" s="880"/>
      <c r="B7" s="880"/>
      <c r="C7" s="880"/>
      <c r="D7" s="881" t="s">
        <v>2404</v>
      </c>
      <c r="E7" s="880"/>
      <c r="F7" s="880"/>
      <c r="G7" s="881" t="s">
        <v>2410</v>
      </c>
      <c r="H7" s="881" t="s">
        <v>1011</v>
      </c>
      <c r="I7" s="881" t="s">
        <v>1035</v>
      </c>
      <c r="J7" s="882" t="s">
        <v>8</v>
      </c>
      <c r="K7" s="882" t="s">
        <v>8</v>
      </c>
      <c r="L7" s="880"/>
      <c r="M7" s="880"/>
      <c r="N7" s="883">
        <v>45462</v>
      </c>
      <c r="O7" s="884">
        <v>0</v>
      </c>
      <c r="P7" s="884">
        <v>0</v>
      </c>
      <c r="Q7" s="884">
        <v>0</v>
      </c>
      <c r="R7" s="884">
        <v>0</v>
      </c>
      <c r="S7" s="884">
        <v>15</v>
      </c>
      <c r="T7" s="884">
        <f>ROUND(R7*S7%,2)</f>
        <v>0</v>
      </c>
      <c r="U7" s="885" t="s">
        <v>748</v>
      </c>
      <c r="V7" s="884">
        <f>IF(U7="SI",IF(S7&lt;14,0,ROUND((R7*2%),2)),0)</f>
        <v>0</v>
      </c>
      <c r="W7" s="884">
        <v>0</v>
      </c>
      <c r="X7" s="884">
        <v>0</v>
      </c>
      <c r="Y7" s="884">
        <f>ROUND(SUM(O7:R7)+T7-V7+SUM(W7:X7),2)</f>
        <v>0</v>
      </c>
      <c r="Z7" s="884">
        <v>0</v>
      </c>
      <c r="AA7" s="880"/>
      <c r="AB7" s="880"/>
      <c r="AC7" s="882"/>
      <c r="AD7" s="880"/>
      <c r="AE7" s="881"/>
      <c r="AF7" s="882" t="s">
        <v>1582</v>
      </c>
    </row>
    <row r="8" spans="1:32" x14ac:dyDescent="0.25">
      <c r="A8" s="880"/>
      <c r="B8" s="880"/>
      <c r="C8" s="880"/>
      <c r="D8" s="881" t="s">
        <v>2404</v>
      </c>
      <c r="E8" s="880"/>
      <c r="F8" s="880"/>
      <c r="G8" s="881" t="s">
        <v>2410</v>
      </c>
      <c r="H8" s="881" t="s">
        <v>1011</v>
      </c>
      <c r="I8" s="881" t="s">
        <v>1035</v>
      </c>
      <c r="J8" s="882" t="s">
        <v>8</v>
      </c>
      <c r="K8" s="882" t="s">
        <v>8</v>
      </c>
      <c r="L8" s="880"/>
      <c r="M8" s="880"/>
      <c r="N8" s="883">
        <v>45462</v>
      </c>
      <c r="O8" s="884">
        <v>0</v>
      </c>
      <c r="P8" s="884">
        <v>0</v>
      </c>
      <c r="Q8" s="884">
        <v>0</v>
      </c>
      <c r="R8" s="884">
        <v>0</v>
      </c>
      <c r="S8" s="884">
        <v>15</v>
      </c>
      <c r="T8" s="884">
        <f>ROUND(R8*S8%,2)</f>
        <v>0</v>
      </c>
      <c r="U8" s="885" t="s">
        <v>748</v>
      </c>
      <c r="V8" s="884">
        <f>IF(U8="SI",IF(S8&lt;14,0,ROUND((R8*2%),2)),0)</f>
        <v>0</v>
      </c>
      <c r="W8" s="884">
        <v>0</v>
      </c>
      <c r="X8" s="884">
        <v>0</v>
      </c>
      <c r="Y8" s="884">
        <f>ROUND(SUM(O8:R8)+T8-V8+SUM(W8:X8),2)</f>
        <v>0</v>
      </c>
      <c r="Z8" s="884">
        <v>0</v>
      </c>
      <c r="AA8" s="880"/>
      <c r="AB8" s="880"/>
      <c r="AC8" s="882"/>
      <c r="AD8" s="880"/>
      <c r="AE8" s="881"/>
      <c r="AF8" s="882" t="s">
        <v>1582</v>
      </c>
    </row>
    <row r="9" spans="1:32" x14ac:dyDescent="0.25">
      <c r="A9" s="863"/>
      <c r="B9" s="863"/>
      <c r="C9" s="863"/>
      <c r="D9" s="434" t="s">
        <v>2404</v>
      </c>
      <c r="E9" s="863"/>
      <c r="F9" s="863"/>
      <c r="G9" s="434" t="s">
        <v>2410</v>
      </c>
      <c r="H9" s="434" t="s">
        <v>1011</v>
      </c>
      <c r="I9" s="434" t="s">
        <v>1035</v>
      </c>
      <c r="J9" s="864" t="s">
        <v>8</v>
      </c>
      <c r="K9" s="864" t="s">
        <v>8</v>
      </c>
      <c r="L9" s="863"/>
      <c r="M9" s="863"/>
      <c r="N9" s="868">
        <v>45462</v>
      </c>
      <c r="O9" s="866">
        <v>0</v>
      </c>
      <c r="P9" s="866">
        <v>0</v>
      </c>
      <c r="Q9" s="866">
        <v>0</v>
      </c>
      <c r="R9" s="866">
        <v>0</v>
      </c>
      <c r="S9" s="866">
        <v>15</v>
      </c>
      <c r="T9" s="866">
        <f>ROUND(R9*S9%,2)</f>
        <v>0</v>
      </c>
      <c r="U9" s="867" t="s">
        <v>748</v>
      </c>
      <c r="V9" s="866">
        <f>IF(U9="SI",IF(S9&lt;14,0,ROUND((R9*2%),2)),0)</f>
        <v>0</v>
      </c>
      <c r="W9" s="866">
        <v>0</v>
      </c>
      <c r="X9" s="866">
        <v>0</v>
      </c>
      <c r="Y9" s="866">
        <f>ROUND(SUM(O9:R9)+T9-V9+SUM(W9:X9),2)</f>
        <v>0</v>
      </c>
      <c r="Z9" s="866">
        <v>0</v>
      </c>
      <c r="AA9" s="863"/>
      <c r="AB9" s="863"/>
      <c r="AC9" s="864"/>
      <c r="AD9" s="863"/>
      <c r="AE9" s="434"/>
      <c r="AF9" s="864" t="s">
        <v>1582</v>
      </c>
    </row>
  </sheetData>
  <autoFilter ref="A6:AE6" xr:uid="{322BB187-1DA3-4055-B43A-3D553E888103}"/>
  <mergeCells count="22">
    <mergeCell ref="AF5:AF6"/>
    <mergeCell ref="AE5:AE6"/>
    <mergeCell ref="AB5:AB6"/>
    <mergeCell ref="AC5:AC6"/>
    <mergeCell ref="AD5:AD6"/>
    <mergeCell ref="G5:G6"/>
    <mergeCell ref="N5:N6"/>
    <mergeCell ref="S5:S6"/>
    <mergeCell ref="U5:U6"/>
    <mergeCell ref="AA5:AA6"/>
    <mergeCell ref="H5:H6"/>
    <mergeCell ref="I5:I6"/>
    <mergeCell ref="J5:J6"/>
    <mergeCell ref="K5:K6"/>
    <mergeCell ref="L5:L6"/>
    <mergeCell ref="M5:M6"/>
    <mergeCell ref="F5:F6"/>
    <mergeCell ref="A5:A6"/>
    <mergeCell ref="B5:B6"/>
    <mergeCell ref="C5:C6"/>
    <mergeCell ref="D5:D6"/>
    <mergeCell ref="E5:E6"/>
  </mergeCells>
  <phoneticPr fontId="55" type="noConversion"/>
  <conditionalFormatting sqref="A7:AD370 AF7:AF370">
    <cfRule type="expression" dxfId="6" priority="36">
      <formula>ROW()=RowREE</formula>
    </cfRule>
  </conditionalFormatting>
  <dataValidations count="10">
    <dataValidation type="textLength" errorStyle="warning" operator="equal" allowBlank="1" showInputMessage="1" showErrorMessage="1" errorTitle="Validación de datos" error="Debe ingresar los 10 caracteres correspondientes en cada celda ó dejarla vacia de ser el caso." sqref="M5" xr:uid="{00000000-0002-0000-0200-000000000000}">
      <formula1>10</formula1>
    </dataValidation>
    <dataValidation type="textLength" errorStyle="warning" operator="equal" allowBlank="1" showInputMessage="1" showErrorMessage="1" errorTitle="Validación de datos" error="Debe ingresar los 3 caracteres correspondientes en cada celda ó dejarla vacia de ser el caso." sqref="J5:K5 J7:K1048576" xr:uid="{00000000-0002-0000-0200-000005000000}">
      <formula1>3</formula1>
    </dataValidation>
    <dataValidation type="list" allowBlank="1" showInputMessage="1" showErrorMessage="1" sqref="D7:D1048576" xr:uid="{00000000-0002-0000-0200-000001000000}">
      <formula1>"R-Ruc,C-Cédula,P-Pasaporte,E-ID Exterior"</formula1>
    </dataValidation>
    <dataValidation type="list" allowBlank="1" showInputMessage="1" showErrorMessage="1" sqref="U7:U1048576" xr:uid="{00000000-0002-0000-0200-000002000000}">
      <formula1>"SI,NO"</formula1>
    </dataValidation>
    <dataValidation type="textLength" errorStyle="warning" allowBlank="1" showInputMessage="1" showErrorMessage="1" errorTitle="Validación de datos" error="Debe ingresar los 10 o 37 o 49 caracteres correspondientes en cada celda ó dejarla vacia de ser el caso." sqref="M7:M1048576" xr:uid="{00000000-0002-0000-0200-000004000000}">
      <formula1>10</formula1>
      <formula2>49</formula2>
    </dataValidation>
    <dataValidation type="list" allowBlank="1" showInputMessage="1" showErrorMessage="1" sqref="I7:I1048576" xr:uid="{00000000-0002-0000-0200-000006000000}">
      <formula1>ComprobantesCOM</formula1>
    </dataValidation>
    <dataValidation type="list" allowBlank="1" showInputMessage="1" showErrorMessage="1" sqref="H7:H1048576" xr:uid="{00000000-0002-0000-0200-000007000000}">
      <formula1>"F-Fisico,E-Electronico"</formula1>
    </dataValidation>
    <dataValidation type="list" allowBlank="1" showInputMessage="1" showErrorMessage="1" sqref="G7:G1048576" xr:uid="{9FE2C79D-59FA-463B-A0E8-40127B9C3C52}">
      <formula1>"01-Persona Natural,02-Sociedad"</formula1>
    </dataValidation>
    <dataValidation type="list" allowBlank="1" showInputMessage="1" showErrorMessage="1" sqref="S7:S1048576" xr:uid="{ADC10BD1-818D-4850-BFDD-9B27C1E3EACA}">
      <formula1>tarifasIVA</formula1>
    </dataValidation>
    <dataValidation type="list" allowBlank="1" showInputMessage="1" showErrorMessage="1" sqref="AE7:AE1048576" xr:uid="{87128FFE-B825-4E62-98B5-EE16E457FFAA}">
      <formula1>IF($BZ7="02-PARAISO FISCAL",paises17b,IF($BZ7="01-REGIMEN GENERAL",$CA7,paises))</formula1>
    </dataValidation>
  </dataValidations>
  <pageMargins left="0.7" right="0.7" top="0.75" bottom="0.75" header="0.3" footer="0.3"/>
  <pageSetup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7"/>
  <dimension ref="A1:AR9"/>
  <sheetViews>
    <sheetView showGridLines="0" zoomScaleNormal="100" workbookViewId="0">
      <pane xSplit="3" ySplit="6" topLeftCell="D7" activePane="bottomRight" state="frozen"/>
      <selection activeCell="D7" sqref="D7"/>
      <selection pane="topRight" activeCell="D7" sqref="D7"/>
      <selection pane="bottomLeft" activeCell="D7" sqref="D7"/>
      <selection pane="bottomRight" activeCell="D7" sqref="D7"/>
    </sheetView>
  </sheetViews>
  <sheetFormatPr baseColWidth="10" defaultColWidth="10.81640625" defaultRowHeight="11.5" outlineLevelCol="1" x14ac:dyDescent="0.25"/>
  <cols>
    <col min="1" max="1" width="15" style="350" customWidth="1"/>
    <col min="2" max="2" width="10.81640625" style="333" customWidth="1"/>
    <col min="3" max="3" width="32.26953125" style="350" customWidth="1"/>
    <col min="4" max="4" width="17.453125" style="333" bestFit="1" customWidth="1"/>
    <col min="5" max="5" width="7.81640625" style="351" customWidth="1"/>
    <col min="6" max="6" width="21.1796875" style="333" bestFit="1" customWidth="1"/>
    <col min="7" max="9" width="21.81640625" style="333" hidden="1" customWidth="1" outlineLevel="1"/>
    <col min="10" max="10" width="21.81640625" style="333" customWidth="1" collapsed="1"/>
    <col min="11" max="11" width="7.81640625" style="368" customWidth="1"/>
    <col min="12" max="12" width="33.81640625" style="333" bestFit="1" customWidth="1"/>
    <col min="13" max="13" width="23" style="333" hidden="1" customWidth="1" outlineLevel="1"/>
    <col min="14" max="14" width="8.453125" style="351" hidden="1" customWidth="1" outlineLevel="1"/>
    <col min="15" max="15" width="12.26953125" style="353" hidden="1" customWidth="1" outlineLevel="1"/>
    <col min="16" max="16" width="18.81640625" style="333" customWidth="1" collapsed="1"/>
    <col min="17" max="17" width="24.453125" style="333" customWidth="1"/>
    <col min="18" max="18" width="12.54296875" style="352" bestFit="1" customWidth="1"/>
    <col min="19" max="19" width="13" style="350" customWidth="1"/>
    <col min="20" max="20" width="10.81640625" style="333"/>
    <col min="21" max="21" width="9.1796875" style="333" customWidth="1"/>
    <col min="22" max="22" width="12" style="350" customWidth="1"/>
    <col min="23" max="24" width="12.1796875" style="333" customWidth="1"/>
    <col min="25" max="25" width="15.54296875" style="333" customWidth="1"/>
    <col min="26" max="27" width="6.1796875" style="350" customWidth="1"/>
    <col min="28" max="28" width="10.81640625" style="350"/>
    <col min="29" max="29" width="12.26953125" style="350" customWidth="1"/>
    <col min="30" max="30" width="13" style="352" customWidth="1"/>
    <col min="31" max="32" width="13" style="353" customWidth="1"/>
    <col min="33" max="33" width="6.453125" style="431" customWidth="1"/>
    <col min="34" max="34" width="13.1796875" style="353" customWidth="1"/>
    <col min="35" max="35" width="6.453125" style="431" customWidth="1"/>
    <col min="36" max="36" width="11" style="353" bestFit="1" customWidth="1"/>
    <col min="37" max="37" width="1.1796875" style="333" customWidth="1"/>
    <col min="38" max="38" width="8.54296875" style="351" customWidth="1"/>
    <col min="39" max="39" width="8.453125" style="351" customWidth="1"/>
    <col min="40" max="40" width="11" style="353" hidden="1" customWidth="1" outlineLevel="1"/>
    <col min="41" max="41" width="0" style="353" hidden="1" customWidth="1" outlineLevel="1"/>
    <col min="42" max="42" width="22.81640625" style="350" customWidth="1" collapsed="1"/>
    <col min="43" max="43" width="48" style="333" customWidth="1"/>
    <col min="44" max="16384" width="10.81640625" style="333"/>
  </cols>
  <sheetData>
    <row r="1" spans="1:44" ht="20.149999999999999" customHeight="1" x14ac:dyDescent="0.25">
      <c r="A1" s="372" t="str">
        <f>Parametros!D4&amp;" - "&amp;Parametros!D5</f>
        <v>1306304542001 - VELIZ NAPA JAVIER</v>
      </c>
      <c r="B1" s="321"/>
      <c r="C1" s="322"/>
      <c r="D1" s="322"/>
      <c r="E1" s="323"/>
      <c r="F1" s="322"/>
      <c r="G1" s="322"/>
      <c r="H1" s="322"/>
      <c r="I1" s="322"/>
      <c r="J1" s="322"/>
      <c r="K1" s="323"/>
      <c r="L1" s="322"/>
      <c r="M1" s="322"/>
      <c r="N1" s="323"/>
      <c r="O1" s="326"/>
      <c r="P1" s="322"/>
      <c r="Q1" s="322"/>
      <c r="R1" s="324"/>
      <c r="S1" s="322"/>
      <c r="T1" s="322"/>
      <c r="U1" s="325"/>
      <c r="V1" s="322"/>
      <c r="W1" s="322"/>
      <c r="X1" s="322"/>
      <c r="Y1" s="322"/>
      <c r="Z1" s="322"/>
      <c r="AA1" s="322"/>
      <c r="AB1" s="322"/>
      <c r="AC1" s="322"/>
      <c r="AD1" s="324"/>
      <c r="AE1" s="326"/>
      <c r="AF1" s="326"/>
      <c r="AG1" s="429"/>
      <c r="AH1" s="326"/>
      <c r="AI1" s="432"/>
      <c r="AJ1" s="326"/>
      <c r="AK1" s="325"/>
      <c r="AL1" s="321"/>
      <c r="AM1" s="321"/>
      <c r="AN1" s="326"/>
      <c r="AO1" s="326"/>
      <c r="AP1" s="322"/>
      <c r="AQ1" s="325"/>
      <c r="AR1" s="325"/>
    </row>
    <row r="2" spans="1:44" ht="19.5" customHeight="1" x14ac:dyDescent="0.25">
      <c r="A2" s="373" t="s">
        <v>1293</v>
      </c>
      <c r="B2" s="334"/>
      <c r="C2" s="334"/>
      <c r="D2" s="334"/>
      <c r="E2" s="323"/>
      <c r="F2" s="322"/>
      <c r="G2" s="322"/>
      <c r="H2" s="322"/>
      <c r="I2" s="322"/>
      <c r="J2" s="322"/>
      <c r="K2" s="323"/>
      <c r="L2" s="322"/>
      <c r="M2" s="322"/>
      <c r="N2" s="323"/>
      <c r="O2" s="326"/>
      <c r="P2" s="322"/>
      <c r="Q2" s="322"/>
      <c r="R2" s="324"/>
      <c r="S2" s="322"/>
      <c r="T2" s="322"/>
      <c r="U2" s="325"/>
      <c r="V2" s="322"/>
      <c r="W2" s="322"/>
      <c r="X2" s="322"/>
      <c r="Y2" s="322"/>
      <c r="Z2" s="322"/>
      <c r="AA2" s="322"/>
      <c r="AB2" s="322"/>
      <c r="AC2" s="322"/>
      <c r="AD2" s="324"/>
      <c r="AE2" s="326"/>
      <c r="AF2" s="326"/>
      <c r="AG2" s="429"/>
      <c r="AH2" s="326"/>
      <c r="AI2" s="432"/>
      <c r="AJ2" s="326"/>
      <c r="AK2" s="325"/>
      <c r="AL2" s="321"/>
      <c r="AM2" s="321"/>
      <c r="AN2" s="326"/>
      <c r="AO2" s="326"/>
      <c r="AP2" s="322"/>
      <c r="AQ2" s="325"/>
      <c r="AR2" s="325"/>
    </row>
    <row r="3" spans="1:44" ht="16" hidden="1" customHeight="1" x14ac:dyDescent="0.25">
      <c r="A3" s="336"/>
      <c r="B3" s="337"/>
      <c r="C3" s="338"/>
      <c r="D3" s="338"/>
      <c r="E3" s="338"/>
      <c r="F3" s="338"/>
      <c r="G3" s="338"/>
      <c r="H3" s="338"/>
      <c r="I3" s="338"/>
      <c r="J3" s="338"/>
      <c r="K3" s="338"/>
      <c r="L3" s="338"/>
      <c r="M3" s="338"/>
      <c r="N3" s="338"/>
      <c r="O3" s="340"/>
      <c r="P3" s="338"/>
      <c r="Q3" s="338"/>
      <c r="R3" s="339"/>
      <c r="S3" s="338"/>
      <c r="T3" s="338"/>
      <c r="U3" s="337"/>
      <c r="V3" s="338"/>
      <c r="W3" s="338"/>
      <c r="X3" s="365"/>
      <c r="Y3" s="338"/>
      <c r="Z3" s="338"/>
      <c r="AA3" s="338"/>
      <c r="AB3" s="338"/>
      <c r="AC3" s="338"/>
      <c r="AD3" s="339"/>
      <c r="AE3" s="340"/>
      <c r="AF3" s="340"/>
      <c r="AG3" s="430"/>
      <c r="AH3" s="340"/>
      <c r="AI3" s="433"/>
      <c r="AJ3" s="340"/>
      <c r="AK3" s="337"/>
      <c r="AL3" s="337"/>
      <c r="AM3" s="337"/>
      <c r="AN3" s="340"/>
      <c r="AO3" s="340"/>
      <c r="AP3" s="338"/>
      <c r="AQ3" s="337"/>
      <c r="AR3" s="366"/>
    </row>
    <row r="4" spans="1:44" s="649" customFormat="1" ht="14.5" customHeight="1" x14ac:dyDescent="0.35">
      <c r="A4" s="379"/>
      <c r="B4" s="371" t="str">
        <f>"# Registros EXPORTACIONES : " &amp; COUNTIF(R:R,"&gt;0")</f>
        <v># Registros EXPORTACIONES : 3</v>
      </c>
      <c r="C4" s="595" t="s">
        <v>1331</v>
      </c>
      <c r="D4" s="804"/>
      <c r="E4" s="610"/>
      <c r="F4" s="597" t="s">
        <v>2217</v>
      </c>
      <c r="G4" s="610"/>
      <c r="H4" s="610"/>
      <c r="I4" s="610"/>
      <c r="J4" s="610"/>
      <c r="K4" s="610"/>
      <c r="L4" s="597" t="s">
        <v>2219</v>
      </c>
      <c r="M4" s="646" t="s">
        <v>2216</v>
      </c>
      <c r="N4" s="653"/>
      <c r="O4" s="654"/>
      <c r="P4" s="608" t="s">
        <v>2218</v>
      </c>
      <c r="Q4" s="608" t="s">
        <v>2218</v>
      </c>
      <c r="R4" s="648"/>
      <c r="S4" s="646" t="s">
        <v>2220</v>
      </c>
      <c r="T4" s="646"/>
      <c r="U4" s="646"/>
      <c r="V4" s="601"/>
      <c r="W4" s="646"/>
      <c r="X4" s="595" t="s">
        <v>1332</v>
      </c>
      <c r="Y4" s="653"/>
      <c r="Z4" s="653"/>
      <c r="AA4" s="653"/>
      <c r="AB4" s="653"/>
      <c r="AC4" s="653"/>
      <c r="AD4" s="805"/>
      <c r="AE4" s="806"/>
      <c r="AF4" s="807"/>
      <c r="AG4" s="604" t="s">
        <v>1333</v>
      </c>
      <c r="AH4" s="806"/>
      <c r="AI4" s="808"/>
      <c r="AJ4" s="807"/>
      <c r="AK4" s="534"/>
      <c r="AL4" s="534" t="s">
        <v>682</v>
      </c>
      <c r="AM4" s="534" t="s">
        <v>682</v>
      </c>
      <c r="AN4" s="647" t="s">
        <v>682</v>
      </c>
      <c r="AO4" s="647" t="s">
        <v>682</v>
      </c>
      <c r="AP4" s="610"/>
      <c r="AQ4" s="534"/>
      <c r="AR4" s="534"/>
    </row>
    <row r="5" spans="1:44" ht="16" customHeight="1" thickBot="1" x14ac:dyDescent="0.3">
      <c r="A5" s="1343" t="s">
        <v>683</v>
      </c>
      <c r="B5" s="1341" t="s">
        <v>684</v>
      </c>
      <c r="C5" s="1345" t="s">
        <v>685</v>
      </c>
      <c r="D5" s="1341" t="s">
        <v>686</v>
      </c>
      <c r="E5" s="1341" t="s">
        <v>687</v>
      </c>
      <c r="F5" s="1347" t="s">
        <v>736</v>
      </c>
      <c r="G5" s="1347" t="s">
        <v>1012</v>
      </c>
      <c r="H5" s="1347" t="s">
        <v>1013</v>
      </c>
      <c r="I5" s="1349" t="s">
        <v>1014</v>
      </c>
      <c r="J5" s="1347" t="s">
        <v>1015</v>
      </c>
      <c r="K5" s="1345" t="s">
        <v>1016</v>
      </c>
      <c r="L5" s="1341" t="s">
        <v>1017</v>
      </c>
      <c r="M5" s="1341" t="s">
        <v>1018</v>
      </c>
      <c r="N5" s="1341" t="s">
        <v>1019</v>
      </c>
      <c r="O5" s="809">
        <f>SUBTOTAL(9,O$6:O466)</f>
        <v>0</v>
      </c>
      <c r="P5" s="1341" t="s">
        <v>1021</v>
      </c>
      <c r="Q5" s="1341" t="s">
        <v>1022</v>
      </c>
      <c r="R5" s="1351" t="s">
        <v>1023</v>
      </c>
      <c r="S5" s="1345" t="s">
        <v>1024</v>
      </c>
      <c r="T5" s="1345" t="s">
        <v>1025</v>
      </c>
      <c r="U5" s="1341" t="s">
        <v>1026</v>
      </c>
      <c r="V5" s="1345" t="s">
        <v>1027</v>
      </c>
      <c r="W5" s="1345" t="s">
        <v>1028</v>
      </c>
      <c r="X5" s="1341" t="s">
        <v>1004</v>
      </c>
      <c r="Y5" s="1341" t="s">
        <v>688</v>
      </c>
      <c r="Z5" s="1345" t="s">
        <v>689</v>
      </c>
      <c r="AA5" s="1345" t="s">
        <v>690</v>
      </c>
      <c r="AB5" s="1345" t="s">
        <v>691</v>
      </c>
      <c r="AC5" s="1345" t="s">
        <v>692</v>
      </c>
      <c r="AD5" s="1351" t="s">
        <v>693</v>
      </c>
      <c r="AE5" s="810">
        <f>SUBTOTAL(9,AE$6:AE466)</f>
        <v>0</v>
      </c>
      <c r="AF5" s="592">
        <f>SUBTOTAL(9,AF$6:AF466)</f>
        <v>0</v>
      </c>
      <c r="AG5" s="1317" t="s">
        <v>2045</v>
      </c>
      <c r="AH5" s="588">
        <f>SUBTOTAL(9,AH$6:AH993)</f>
        <v>0</v>
      </c>
      <c r="AI5" s="1317" t="s">
        <v>2046</v>
      </c>
      <c r="AJ5" s="588">
        <f>SUBTOTAL(9,AJ$6:AJ993)</f>
        <v>0</v>
      </c>
      <c r="AK5" s="346"/>
      <c r="AL5" s="1355" t="s">
        <v>1236</v>
      </c>
      <c r="AM5" s="1355" t="s">
        <v>1316</v>
      </c>
      <c r="AN5" s="1357" t="s">
        <v>743</v>
      </c>
      <c r="AO5" s="1357" t="s">
        <v>744</v>
      </c>
      <c r="AP5" s="1359" t="s">
        <v>746</v>
      </c>
      <c r="AQ5" s="1353" t="s">
        <v>1234</v>
      </c>
      <c r="AR5" s="346"/>
    </row>
    <row r="6" spans="1:44" ht="47.15" customHeight="1" x14ac:dyDescent="0.25">
      <c r="A6" s="1344"/>
      <c r="B6" s="1342"/>
      <c r="C6" s="1346"/>
      <c r="D6" s="1342"/>
      <c r="E6" s="1342"/>
      <c r="F6" s="1348"/>
      <c r="G6" s="1348"/>
      <c r="H6" s="1348"/>
      <c r="I6" s="1350"/>
      <c r="J6" s="1348"/>
      <c r="K6" s="1346"/>
      <c r="L6" s="1342"/>
      <c r="M6" s="1342"/>
      <c r="N6" s="1342"/>
      <c r="O6" s="873" t="s">
        <v>1020</v>
      </c>
      <c r="P6" s="1342"/>
      <c r="Q6" s="1342"/>
      <c r="R6" s="1352"/>
      <c r="S6" s="1346"/>
      <c r="T6" s="1346"/>
      <c r="U6" s="1342"/>
      <c r="V6" s="1346"/>
      <c r="W6" s="1346"/>
      <c r="X6" s="1342"/>
      <c r="Y6" s="1342"/>
      <c r="Z6" s="1346"/>
      <c r="AA6" s="1346"/>
      <c r="AB6" s="1346"/>
      <c r="AC6" s="1346"/>
      <c r="AD6" s="1352"/>
      <c r="AE6" s="873" t="s">
        <v>1029</v>
      </c>
      <c r="AF6" s="874" t="s">
        <v>1030</v>
      </c>
      <c r="AG6" s="1243"/>
      <c r="AH6" s="590" t="s">
        <v>707</v>
      </c>
      <c r="AI6" s="1243"/>
      <c r="AJ6" s="590" t="s">
        <v>707</v>
      </c>
      <c r="AK6" s="349"/>
      <c r="AL6" s="1356"/>
      <c r="AM6" s="1356"/>
      <c r="AN6" s="1358"/>
      <c r="AO6" s="1358"/>
      <c r="AP6" s="1360"/>
      <c r="AQ6" s="1354"/>
      <c r="AR6" s="349"/>
    </row>
    <row r="7" spans="1:44" x14ac:dyDescent="0.25">
      <c r="A7" s="880"/>
      <c r="B7" s="881" t="s">
        <v>2404</v>
      </c>
      <c r="C7" s="880"/>
      <c r="D7" s="881"/>
      <c r="E7" s="885" t="s">
        <v>748</v>
      </c>
      <c r="F7" s="881" t="s">
        <v>2400</v>
      </c>
      <c r="G7" s="881"/>
      <c r="H7" s="881"/>
      <c r="I7" s="881"/>
      <c r="J7" s="881"/>
      <c r="K7" s="882" t="s">
        <v>748</v>
      </c>
      <c r="L7" s="881" t="s">
        <v>593</v>
      </c>
      <c r="M7" s="881"/>
      <c r="N7" s="885" t="s">
        <v>748</v>
      </c>
      <c r="O7" s="884">
        <v>0</v>
      </c>
      <c r="P7" s="881" t="s">
        <v>597</v>
      </c>
      <c r="Q7" s="881" t="s">
        <v>583</v>
      </c>
      <c r="R7" s="886">
        <v>45462</v>
      </c>
      <c r="S7" s="880"/>
      <c r="T7" s="881"/>
      <c r="U7" s="881">
        <f>YEAR(R7)</f>
        <v>2024</v>
      </c>
      <c r="V7" s="880"/>
      <c r="W7" s="881"/>
      <c r="X7" s="881" t="s">
        <v>1011</v>
      </c>
      <c r="Y7" s="881" t="s">
        <v>1035</v>
      </c>
      <c r="Z7" s="880"/>
      <c r="AA7" s="880"/>
      <c r="AB7" s="880"/>
      <c r="AC7" s="880"/>
      <c r="AD7" s="887"/>
      <c r="AE7" s="884">
        <v>0</v>
      </c>
      <c r="AF7" s="884">
        <v>0</v>
      </c>
      <c r="AG7" s="885">
        <v>417</v>
      </c>
      <c r="AH7" s="884">
        <f>IF(ISBLANK($L7),0,IF(AG7=417,IF(OR(VALUE(LEFT($L7,2))=1,VALUE(LEFT($L7,2))=2),$AF7,0),IF(AG7=418,IF(VALUE(LEFT($L7,2))=3,$AF7,0),0)))</f>
        <v>0</v>
      </c>
      <c r="AI7" s="885">
        <v>418</v>
      </c>
      <c r="AJ7" s="884">
        <f>IF(ISBLANK($L7),0,IF(AI7=417,IF(OR(VALUE(LEFT($L7,2))=1,VALUE(LEFT($L7,2))=2),$AF7,0),IF(AI7=418,IF(VALUE(LEFT($L7,2))=3,$AF7,0),0)))</f>
        <v>0</v>
      </c>
      <c r="AK7" s="881"/>
      <c r="AL7" s="885">
        <f>IF(ISNUMBER(R7),MONTH(R7),0)</f>
        <v>6</v>
      </c>
      <c r="AM7" s="888" t="str">
        <f>IF(ISNUMBER(R7),IF(ISERROR(HLOOKUP(MONTH(R7),meses_104,1,0)),"NO","SI"),"NO")</f>
        <v>NO</v>
      </c>
      <c r="AN7" s="884">
        <f>IF(ISBLANK(Y7),0,IF(VALUE(LEFT(Y7,2))=4,0,AH7))</f>
        <v>0</v>
      </c>
      <c r="AO7" s="884">
        <f>IF(ISBLANK(Y7),0,IF(VALUE(LEFT(Y7,2))=4,0,AJ7))</f>
        <v>0</v>
      </c>
      <c r="AP7" s="880"/>
      <c r="AQ7" s="881" t="s">
        <v>1295</v>
      </c>
    </row>
    <row r="8" spans="1:44" x14ac:dyDescent="0.25">
      <c r="A8" s="880"/>
      <c r="B8" s="881" t="s">
        <v>2404</v>
      </c>
      <c r="C8" s="880"/>
      <c r="D8" s="881"/>
      <c r="E8" s="885" t="s">
        <v>748</v>
      </c>
      <c r="F8" s="881" t="s">
        <v>2400</v>
      </c>
      <c r="G8" s="881"/>
      <c r="H8" s="881"/>
      <c r="I8" s="881"/>
      <c r="J8" s="881"/>
      <c r="K8" s="882" t="s">
        <v>748</v>
      </c>
      <c r="L8" s="881" t="s">
        <v>593</v>
      </c>
      <c r="M8" s="881"/>
      <c r="N8" s="885" t="s">
        <v>748</v>
      </c>
      <c r="O8" s="884">
        <v>0</v>
      </c>
      <c r="P8" s="881" t="s">
        <v>597</v>
      </c>
      <c r="Q8" s="881" t="s">
        <v>583</v>
      </c>
      <c r="R8" s="886">
        <v>45462</v>
      </c>
      <c r="S8" s="880"/>
      <c r="T8" s="881"/>
      <c r="U8" s="881">
        <f>YEAR(R8)</f>
        <v>2024</v>
      </c>
      <c r="V8" s="880"/>
      <c r="W8" s="881"/>
      <c r="X8" s="881" t="s">
        <v>1011</v>
      </c>
      <c r="Y8" s="881" t="s">
        <v>1035</v>
      </c>
      <c r="Z8" s="880"/>
      <c r="AA8" s="880"/>
      <c r="AB8" s="880"/>
      <c r="AC8" s="880"/>
      <c r="AD8" s="887"/>
      <c r="AE8" s="884">
        <v>0</v>
      </c>
      <c r="AF8" s="884">
        <v>0</v>
      </c>
      <c r="AG8" s="885">
        <v>417</v>
      </c>
      <c r="AH8" s="884">
        <f>IF(ISBLANK($L8),0,IF(AG8=417,IF(OR(VALUE(LEFT($L8,2))=1,VALUE(LEFT($L8,2))=2),$AF8,0),IF(AG8=418,IF(VALUE(LEFT($L8,2))=3,$AF8,0),0)))</f>
        <v>0</v>
      </c>
      <c r="AI8" s="885">
        <v>418</v>
      </c>
      <c r="AJ8" s="884">
        <f>IF(ISBLANK($L8),0,IF(AI8=417,IF(OR(VALUE(LEFT($L8,2))=1,VALUE(LEFT($L8,2))=2),$AF8,0),IF(AI8=418,IF(VALUE(LEFT($L8,2))=3,$AF8,0),0)))</f>
        <v>0</v>
      </c>
      <c r="AK8" s="881"/>
      <c r="AL8" s="885">
        <f>IF(ISNUMBER(R8),MONTH(R8),0)</f>
        <v>6</v>
      </c>
      <c r="AM8" s="888" t="str">
        <f>IF(ISNUMBER(R8),IF(ISERROR(HLOOKUP(MONTH(R8),meses_104,1,0)),"NO","SI"),"NO")</f>
        <v>NO</v>
      </c>
      <c r="AN8" s="884">
        <f>IF(ISBLANK(Y8),0,IF(VALUE(LEFT(Y8,2))=4,0,AH8))</f>
        <v>0</v>
      </c>
      <c r="AO8" s="884">
        <f>IF(ISBLANK(Y8),0,IF(VALUE(LEFT(Y8,2))=4,0,AJ8))</f>
        <v>0</v>
      </c>
      <c r="AP8" s="880"/>
      <c r="AQ8" s="881" t="s">
        <v>1295</v>
      </c>
    </row>
    <row r="9" spans="1:44" x14ac:dyDescent="0.25">
      <c r="A9" s="863"/>
      <c r="B9" s="434" t="s">
        <v>2404</v>
      </c>
      <c r="C9" s="863"/>
      <c r="D9" s="434"/>
      <c r="E9" s="867" t="s">
        <v>748</v>
      </c>
      <c r="F9" s="434" t="s">
        <v>2400</v>
      </c>
      <c r="G9" s="434"/>
      <c r="H9" s="434"/>
      <c r="I9" s="434"/>
      <c r="J9" s="434"/>
      <c r="K9" s="864" t="s">
        <v>748</v>
      </c>
      <c r="L9" s="434" t="s">
        <v>593</v>
      </c>
      <c r="M9" s="434"/>
      <c r="N9" s="867" t="s">
        <v>748</v>
      </c>
      <c r="O9" s="866">
        <v>0</v>
      </c>
      <c r="P9" s="434" t="s">
        <v>597</v>
      </c>
      <c r="Q9" s="434" t="s">
        <v>583</v>
      </c>
      <c r="R9" s="865">
        <v>45462</v>
      </c>
      <c r="S9" s="863"/>
      <c r="T9" s="434"/>
      <c r="U9" s="434">
        <f>YEAR(R9)</f>
        <v>2024</v>
      </c>
      <c r="V9" s="863"/>
      <c r="W9" s="434"/>
      <c r="X9" s="434" t="s">
        <v>1011</v>
      </c>
      <c r="Y9" s="434" t="s">
        <v>1035</v>
      </c>
      <c r="Z9" s="863"/>
      <c r="AA9" s="863"/>
      <c r="AB9" s="863"/>
      <c r="AC9" s="863"/>
      <c r="AD9" s="871"/>
      <c r="AE9" s="866">
        <v>0</v>
      </c>
      <c r="AF9" s="866">
        <v>0</v>
      </c>
      <c r="AG9" s="867">
        <v>417</v>
      </c>
      <c r="AH9" s="866">
        <f>IF(ISBLANK($L9),0,IF(AG9=417,IF(OR(VALUE(LEFT($L9,2))=1,VALUE(LEFT($L9,2))=2),$AF9,0),IF(AG9=418,IF(VALUE(LEFT($L9,2))=3,$AF9,0),0)))</f>
        <v>0</v>
      </c>
      <c r="AI9" s="867">
        <v>418</v>
      </c>
      <c r="AJ9" s="866">
        <f>IF(ISBLANK($L9),0,IF(AI9=417,IF(OR(VALUE(LEFT($L9,2))=1,VALUE(LEFT($L9,2))=2),$AF9,0),IF(AI9=418,IF(VALUE(LEFT($L9,2))=3,$AF9,0),0)))</f>
        <v>0</v>
      </c>
      <c r="AK9" s="434"/>
      <c r="AL9" s="867">
        <f>IF(ISNUMBER(R9),MONTH(R9),0)</f>
        <v>6</v>
      </c>
      <c r="AM9" s="872" t="str">
        <f>IF(ISNUMBER(R9),IF(ISERROR(HLOOKUP(MONTH(R9),meses_104,1,0)),"NO","SI"),"NO")</f>
        <v>NO</v>
      </c>
      <c r="AN9" s="866">
        <f>IF(ISBLANK(Y9),0,IF(VALUE(LEFT(Y9,2))=4,0,AH9))</f>
        <v>0</v>
      </c>
      <c r="AO9" s="866">
        <f>IF(ISBLANK(Y9),0,IF(VALUE(LEFT(Y9,2))=4,0,AJ9))</f>
        <v>0</v>
      </c>
      <c r="AP9" s="863"/>
      <c r="AQ9" s="434" t="s">
        <v>1295</v>
      </c>
    </row>
  </sheetData>
  <autoFilter ref="A6:AR6" xr:uid="{5417A8AA-3F38-4981-8848-38FF3C880F9C}"/>
  <mergeCells count="37">
    <mergeCell ref="AQ5:AQ6"/>
    <mergeCell ref="AD5:AD6"/>
    <mergeCell ref="AL5:AL6"/>
    <mergeCell ref="AM5:AM6"/>
    <mergeCell ref="AN5:AN6"/>
    <mergeCell ref="AO5:AO6"/>
    <mergeCell ref="AP5:AP6"/>
    <mergeCell ref="AG5:AG6"/>
    <mergeCell ref="AI5:AI6"/>
    <mergeCell ref="AC5:AC6"/>
    <mergeCell ref="P5:P6"/>
    <mergeCell ref="Q5:Q6"/>
    <mergeCell ref="R5:R6"/>
    <mergeCell ref="S5:S6"/>
    <mergeCell ref="T5:T6"/>
    <mergeCell ref="U5:U6"/>
    <mergeCell ref="Z5:Z6"/>
    <mergeCell ref="V5:V6"/>
    <mergeCell ref="W5:W6"/>
    <mergeCell ref="X5:X6"/>
    <mergeCell ref="AA5:AA6"/>
    <mergeCell ref="AB5:AB6"/>
    <mergeCell ref="N5:N6"/>
    <mergeCell ref="A5:A6"/>
    <mergeCell ref="B5:B6"/>
    <mergeCell ref="C5:C6"/>
    <mergeCell ref="Y5:Y6"/>
    <mergeCell ref="D5:D6"/>
    <mergeCell ref="E5:E6"/>
    <mergeCell ref="F5:F6"/>
    <mergeCell ref="G5:G6"/>
    <mergeCell ref="H5:H6"/>
    <mergeCell ref="I5:I6"/>
    <mergeCell ref="J5:J6"/>
    <mergeCell ref="K5:K6"/>
    <mergeCell ref="L5:L6"/>
    <mergeCell ref="M5:M6"/>
  </mergeCells>
  <conditionalFormatting sqref="A7:AQ391">
    <cfRule type="expression" dxfId="1" priority="47">
      <formula>ROW()=RowEXP</formula>
    </cfRule>
  </conditionalFormatting>
  <dataValidations count="24">
    <dataValidation type="textLength" errorStyle="warning" operator="equal" allowBlank="1" showInputMessage="1" showErrorMessage="1" errorTitle="Validación de datos" error="Debe ingresar los 3 caracteres correspondientes en cada celda ó dejarla vacia de ser el caso." sqref="U5 Z5:AA5 Z7:AA1048576" xr:uid="{00000000-0002-0000-0400-000000000000}">
      <formula1>3</formula1>
    </dataValidation>
    <dataValidation type="textLength" errorStyle="warning" operator="equal" allowBlank="1" showInputMessage="1" showErrorMessage="1" errorTitle="Validación de datos" error="Debe ingresar los 10 caracteres correspondientes en cada celda ó dejarla vacia de ser el caso." sqref="AC5" xr:uid="{00000000-0002-0000-0400-000001000000}">
      <formula1>10</formula1>
    </dataValidation>
    <dataValidation type="textLength" errorStyle="warning" operator="equal" allowBlank="1" showInputMessage="1" showErrorMessage="1" errorTitle="Validación de datos" error="Debe ingresar los 6 caracteres correspondientes en cada celda ó dejarla vacia de ser el caso." sqref="W5" xr:uid="{00000000-0002-0000-0400-000002000000}">
      <formula1>6</formula1>
    </dataValidation>
    <dataValidation errorStyle="warning" operator="equal" allowBlank="1" showInputMessage="1" showErrorMessage="1" errorTitle="Validación de datos" error="Debe ingresar los 10 caracteres correspondientes en cada celda ó dejarla vacia de ser el caso." sqref="S5" xr:uid="{00000000-0002-0000-0400-000003000000}"/>
    <dataValidation type="textLength" errorStyle="warning" allowBlank="1" showInputMessage="1" showErrorMessage="1" errorTitle="Validación de datos" error="Debe ingresar los 6 caracteres correspondientes en cada celda ó dejarla vacia de ser el caso." sqref="T5 V5 V7:V1048576" xr:uid="{00000000-0002-0000-0400-000004000000}">
      <formula1>6</formula1>
      <formula2>8</formula2>
    </dataValidation>
    <dataValidation type="list" allowBlank="1" showInputMessage="1" showErrorMessage="1" sqref="F7:F1048576" xr:uid="{00000000-0002-0000-0400-000009000000}">
      <formula1>"01-REGIMEN GENERAL,02-PARAISO FISCAL,03-REGIMEN FISCAL PREFERENTE"</formula1>
    </dataValidation>
    <dataValidation type="list" allowBlank="1" showInputMessage="1" showErrorMessage="1" sqref="D7:D1048576" xr:uid="{00000000-0002-0000-0400-00000A000000}">
      <formula1>"01-Persona Natural,02-Sociedad"</formula1>
    </dataValidation>
    <dataValidation type="list" allowBlank="1" showInputMessage="1" showErrorMessage="1" sqref="B7:B1048576" xr:uid="{00000000-0002-0000-0400-00000B000000}">
      <formula1>"R-Ruc,P-Pasaporte,E-ID Exterior"</formula1>
    </dataValidation>
    <dataValidation type="list" allowBlank="1" showInputMessage="1" showErrorMessage="1" sqref="L7:L1048576" xr:uid="{00000000-0002-0000-0400-00000C000000}">
      <formula1>tiposexp</formula1>
    </dataValidation>
    <dataValidation type="list" allowBlank="1" showInputMessage="1" showErrorMessage="1" sqref="N7:N1048576 K7:K1048576 E7:E1048576" xr:uid="{00000000-0002-0000-0400-00000D000000}">
      <formula1>"SI,NO"</formula1>
    </dataValidation>
    <dataValidation type="textLength" errorStyle="warning" operator="equal" allowBlank="1" showInputMessage="1" showErrorMessage="1" errorTitle="Validación de datos" error="Debe ingresar los 4 caracteres correspondientes en cada celda ó dejarla vacia de ser el caso." sqref="U7:U1048576" xr:uid="{00000000-0002-0000-0400-00000E000000}">
      <formula1>4</formula1>
    </dataValidation>
    <dataValidation type="list" allowBlank="1" showInputMessage="1" showErrorMessage="1" sqref="P7:P1048576" xr:uid="{00000000-0002-0000-0400-00000F000000}">
      <formula1>Distritos</formula1>
    </dataValidation>
    <dataValidation type="list" allowBlank="1" showInputMessage="1" showErrorMessage="1" sqref="Q7:Q1048576" xr:uid="{00000000-0002-0000-0400-000010000000}">
      <formula1>Regimenes</formula1>
    </dataValidation>
    <dataValidation type="textLength" errorStyle="warning" operator="equal" allowBlank="1" showInputMessage="1" showErrorMessage="1" errorTitle="Validación de datos" error="Debe ingresar los 1 caracteres correspondientes en cada celda ó dejarla vacia de ser el caso." sqref="W7:W1048576" xr:uid="{00000000-0002-0000-0400-000011000000}">
      <formula1>1</formula1>
    </dataValidation>
    <dataValidation type="textLength" errorStyle="warning" allowBlank="1" showInputMessage="1" showErrorMessage="1" errorTitle="Validación de datos" error="Debe ingresar los 3 y 13 caracteres correspondientes en cada celda ó dejarla vacia de ser el caso." sqref="S7:S1048576" xr:uid="{00000000-0002-0000-0400-000012000000}">
      <formula1>3</formula1>
      <formula2>13</formula2>
    </dataValidation>
    <dataValidation type="textLength" errorStyle="warning" operator="equal" allowBlank="1" showInputMessage="1" showErrorMessage="1" errorTitle="Validación de datos" error="Debe ingresar los 13 caracteres correspondientes en cada celda ó dejarla vacia de ser el caso." sqref="T7:T1048576" xr:uid="{00000000-0002-0000-0400-000013000000}">
      <formula1>13</formula1>
    </dataValidation>
    <dataValidation type="list" allowBlank="1" showInputMessage="1" showErrorMessage="1" sqref="Y7:Y1048576" xr:uid="{00000000-0002-0000-0400-000014000000}">
      <formula1>ComprobantesEXP</formula1>
    </dataValidation>
    <dataValidation type="textLength" errorStyle="warning" allowBlank="1" showInputMessage="1" showErrorMessage="1" errorTitle="Validación de datos" error="Debe ingresar los 10 o 37 o 49 caracteres correspondientes en cada celda ó dejarla vacia de ser el caso." sqref="AC7:AC1048576" xr:uid="{00000000-0002-0000-0400-000015000000}">
      <formula1>10</formula1>
      <formula2>49</formula2>
    </dataValidation>
    <dataValidation type="list" allowBlank="1" showInputMessage="1" showErrorMessage="1" sqref="X7:X1048576" xr:uid="{00000000-0002-0000-0400-000016000000}">
      <formula1>"F-Fisico,E-Electronico"</formula1>
    </dataValidation>
    <dataValidation type="list" allowBlank="1" showInputMessage="1" showErrorMessage="1" sqref="AQ7:AQ1048576" xr:uid="{36A071A1-4D53-4C60-8D03-D90A5A02237F}">
      <formula1>ListaActividades</formula1>
    </dataValidation>
    <dataValidation type="list" allowBlank="1" showInputMessage="1" showErrorMessage="1" sqref="G7:G1048576" xr:uid="{FA2BAF0B-001E-4D3C-808E-6AD430AB698F}">
      <formula1>IF($F7="01-REGIMEN GENERAL",paises,"")</formula1>
    </dataValidation>
    <dataValidation type="list" allowBlank="1" showInputMessage="1" showErrorMessage="1" sqref="J7:J1048576" xr:uid="{B22BE53C-FE1D-43FF-A7A5-71739EF30FCC}">
      <formula1>IF($F7="02-PARAISO FISCAL",paises17b,IF($F7="01-REGIMEN GENERAL",$G7,paises))</formula1>
    </dataValidation>
    <dataValidation type="list" allowBlank="1" showInputMessage="1" showErrorMessage="1" sqref="H7:H1048576" xr:uid="{66EB1CD9-EBBE-4D36-B42B-B61A016A7A33}">
      <formula1>IF($F7="02-PARAISO FISCAL",paises17a,"")</formula1>
    </dataValidation>
    <dataValidation type="list" allowBlank="1" showInputMessage="1" showErrorMessage="1" sqref="M7:M1048576" xr:uid="{E38CC3DB-DD01-438F-93B4-5F523CD0B201}">
      <formula1>IF($L7="03-Exportaciones de servicios",ingExterior,"")</formula1>
    </dataValidation>
  </dataValidations>
  <pageMargins left="0.7" right="0.7" top="0.75" bottom="0.75" header="0.3" footer="0.3"/>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8"/>
  <dimension ref="A1:K8"/>
  <sheetViews>
    <sheetView showGridLines="0" zoomScaleNormal="100" workbookViewId="0">
      <pane ySplit="6" topLeftCell="A7" activePane="bottomLeft" state="frozen"/>
      <selection activeCell="D7" sqref="D7"/>
      <selection pane="bottomLeft" activeCell="A7" sqref="A7"/>
    </sheetView>
  </sheetViews>
  <sheetFormatPr baseColWidth="10" defaultColWidth="10.81640625" defaultRowHeight="11.5" x14ac:dyDescent="0.25"/>
  <cols>
    <col min="1" max="1" width="23.453125" style="333" customWidth="1"/>
    <col min="2" max="3" width="9.453125" style="368" customWidth="1"/>
    <col min="4" max="5" width="12" style="350" customWidth="1"/>
    <col min="6" max="6" width="26.54296875" style="350" customWidth="1"/>
    <col min="7" max="7" width="12.54296875" style="333" customWidth="1"/>
    <col min="8" max="8" width="13.54296875" style="352" customWidth="1"/>
    <col min="9" max="9" width="8.7265625" style="351" customWidth="1"/>
    <col min="10" max="10" width="32.1796875" style="350" customWidth="1"/>
    <col min="11" max="11" width="23.453125" style="333" customWidth="1"/>
    <col min="12" max="16384" width="10.81640625" style="333"/>
  </cols>
  <sheetData>
    <row r="1" spans="1:11" ht="20.149999999999999" customHeight="1" x14ac:dyDescent="0.25">
      <c r="A1" s="372" t="str">
        <f>Parametros!D4&amp;" - "&amp;Parametros!D5</f>
        <v>1306304542001 - VELIZ NAPA JAVIER</v>
      </c>
      <c r="B1" s="323"/>
      <c r="C1" s="323"/>
      <c r="D1" s="322"/>
      <c r="E1" s="322"/>
      <c r="F1" s="322"/>
      <c r="G1" s="322"/>
      <c r="H1" s="324"/>
      <c r="I1" s="323"/>
      <c r="J1" s="322"/>
    </row>
    <row r="2" spans="1:11" ht="19.5" customHeight="1" x14ac:dyDescent="0.25">
      <c r="A2" s="373" t="s">
        <v>1292</v>
      </c>
      <c r="B2" s="381"/>
      <c r="C2" s="381"/>
      <c r="D2" s="322"/>
      <c r="E2" s="322"/>
      <c r="F2" s="322"/>
      <c r="G2" s="322"/>
      <c r="H2" s="324"/>
      <c r="I2" s="323"/>
      <c r="J2" s="322"/>
    </row>
    <row r="3" spans="1:11" s="344" customFormat="1" ht="16" hidden="1" customHeight="1" x14ac:dyDescent="0.25">
      <c r="A3" s="341"/>
      <c r="B3" s="336"/>
      <c r="C3" s="338"/>
      <c r="D3" s="338"/>
      <c r="E3" s="338"/>
      <c r="F3" s="338"/>
      <c r="H3" s="362"/>
      <c r="I3" s="363"/>
      <c r="J3" s="338"/>
    </row>
    <row r="4" spans="1:11" ht="14.5" customHeight="1" x14ac:dyDescent="0.25">
      <c r="A4" s="364"/>
      <c r="B4" s="323"/>
      <c r="C4" s="323"/>
      <c r="D4" s="322"/>
      <c r="E4" s="322"/>
      <c r="F4" s="322"/>
      <c r="G4" s="322"/>
      <c r="H4" s="324"/>
      <c r="I4" s="323"/>
      <c r="J4" s="322"/>
    </row>
    <row r="5" spans="1:11" s="655" customFormat="1" ht="16" customHeight="1" x14ac:dyDescent="0.25">
      <c r="A5" s="800"/>
      <c r="B5" s="801" t="str">
        <f>"# Registros ANULADOS : " &amp; COUNTIF(H:H,"&gt;0")</f>
        <v># Registros ANULADOS : 0</v>
      </c>
      <c r="C5" s="802"/>
      <c r="D5" s="800"/>
      <c r="E5" s="800"/>
      <c r="F5" s="800"/>
      <c r="G5" s="800"/>
      <c r="H5" s="803"/>
      <c r="I5" s="802"/>
      <c r="J5" s="802"/>
      <c r="K5" s="333"/>
    </row>
    <row r="6" spans="1:11" ht="47.15" customHeight="1" x14ac:dyDescent="0.25">
      <c r="A6" s="852" t="s">
        <v>1005</v>
      </c>
      <c r="B6" s="861" t="s">
        <v>1031</v>
      </c>
      <c r="C6" s="861" t="s">
        <v>1032</v>
      </c>
      <c r="D6" s="861" t="s">
        <v>1033</v>
      </c>
      <c r="E6" s="861" t="s">
        <v>1034</v>
      </c>
      <c r="F6" s="861" t="s">
        <v>692</v>
      </c>
      <c r="G6" s="852" t="s">
        <v>1004</v>
      </c>
      <c r="H6" s="860" t="s">
        <v>1238</v>
      </c>
      <c r="I6" s="878" t="s">
        <v>1316</v>
      </c>
      <c r="J6" s="879" t="s">
        <v>746</v>
      </c>
    </row>
    <row r="7" spans="1:11" x14ac:dyDescent="0.25">
      <c r="A7" s="881"/>
      <c r="B7" s="882" t="s">
        <v>8</v>
      </c>
      <c r="C7" s="882" t="s">
        <v>8</v>
      </c>
      <c r="D7" s="880"/>
      <c r="E7" s="880"/>
      <c r="F7" s="880"/>
      <c r="G7" s="881"/>
      <c r="H7" s="886"/>
      <c r="I7" s="888" t="str">
        <f>IF(ISNUMBER(H7),IF(ISERROR(HLOOKUP(MONTH(H7),meses_104,1,0)),"NO","SI"),"NO")</f>
        <v>NO</v>
      </c>
      <c r="J7" s="880"/>
    </row>
    <row r="8" spans="1:11" x14ac:dyDescent="0.25">
      <c r="A8" s="434"/>
      <c r="B8" s="864" t="s">
        <v>8</v>
      </c>
      <c r="C8" s="864" t="s">
        <v>8</v>
      </c>
      <c r="D8" s="863"/>
      <c r="E8" s="863"/>
      <c r="F8" s="863"/>
      <c r="G8" s="434"/>
      <c r="H8" s="865"/>
      <c r="I8" s="872" t="str">
        <f>IF(ISNUMBER(H8),IF(ISERROR(HLOOKUP(MONTH(H8),meses_104,1,0)),"NO","SI"),"NO")</f>
        <v>NO</v>
      </c>
      <c r="J8" s="863"/>
    </row>
  </sheetData>
  <autoFilter ref="A6:J6" xr:uid="{DC71C307-4520-44B2-8E3B-D5D7F14BA48A}"/>
  <conditionalFormatting sqref="A7:J23">
    <cfRule type="expression" dxfId="0" priority="24">
      <formula>ROW()=RowANU</formula>
    </cfRule>
  </conditionalFormatting>
  <dataValidations count="2">
    <dataValidation type="list" allowBlank="1" showInputMessage="1" showErrorMessage="1" sqref="G7:G1048576" xr:uid="{00000000-0002-0000-0500-000000000000}">
      <formula1>"F-Fisico,E-Electronico"</formula1>
    </dataValidation>
    <dataValidation type="list" allowBlank="1" showInputMessage="1" showErrorMessage="1" sqref="A7:A1048576" xr:uid="{00000000-0002-0000-0500-000001000000}">
      <formula1>ComprobantesCOM</formula1>
    </dataValidation>
  </dataValidation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8E6845-CF4E-48E4-93BA-EE656ADE32E3}">
  <dimension ref="A1:AC9"/>
  <sheetViews>
    <sheetView showGridLines="0" zoomScaleNormal="100" workbookViewId="0">
      <pane xSplit="2" ySplit="6" topLeftCell="C7" activePane="bottomRight" state="frozen"/>
      <selection activeCell="A5" sqref="A5:A6"/>
      <selection pane="topRight" activeCell="A5" sqref="A5:A6"/>
      <selection pane="bottomLeft" activeCell="A5" sqref="A5:A6"/>
      <selection pane="bottomRight" activeCell="C7" sqref="C7"/>
    </sheetView>
  </sheetViews>
  <sheetFormatPr baseColWidth="10" defaultColWidth="10.81640625" defaultRowHeight="11.5" outlineLevelCol="1" x14ac:dyDescent="0.25"/>
  <cols>
    <col min="1" max="1" width="15" style="350" customWidth="1"/>
    <col min="2" max="2" width="35.7265625" style="350" customWidth="1"/>
    <col min="3" max="3" width="16.54296875" style="333" customWidth="1" outlineLevel="1"/>
    <col min="4" max="4" width="19.26953125" style="350" customWidth="1"/>
    <col min="5" max="6" width="5.7265625" style="368" customWidth="1"/>
    <col min="7" max="7" width="9.81640625" style="350" customWidth="1"/>
    <col min="8" max="8" width="45.81640625" style="350" bestFit="1" customWidth="1"/>
    <col min="9" max="9" width="2.453125" style="333" customWidth="1"/>
    <col min="10" max="10" width="15" style="350" customWidth="1"/>
    <col min="11" max="11" width="35.7265625" style="350" customWidth="1"/>
    <col min="12" max="12" width="10.453125" style="350" customWidth="1"/>
    <col min="13" max="13" width="10.7265625" style="352" customWidth="1"/>
    <col min="14" max="14" width="11.1796875" style="352" customWidth="1"/>
    <col min="15" max="15" width="35.7265625" style="350" customWidth="1"/>
    <col min="16" max="16" width="2.453125" style="333" customWidth="1"/>
    <col min="17" max="17" width="15" style="350" customWidth="1"/>
    <col min="18" max="18" width="35.7265625" style="350" customWidth="1"/>
    <col min="19" max="19" width="21.26953125" style="350" customWidth="1"/>
    <col min="20" max="20" width="11.54296875" style="350" customWidth="1"/>
    <col min="21" max="21" width="17.453125" style="350" customWidth="1"/>
    <col min="22" max="22" width="10.81640625" style="352" customWidth="1"/>
    <col min="23" max="23" width="45.81640625" style="350" bestFit="1" customWidth="1"/>
    <col min="24" max="26" width="35.7265625" style="350" customWidth="1"/>
    <col min="27" max="27" width="27.7265625" style="350" customWidth="1"/>
    <col min="28" max="28" width="13.1796875" style="350" customWidth="1"/>
    <col min="29" max="29" width="2.453125" style="333" customWidth="1"/>
    <col min="30" max="16384" width="10.81640625" style="333"/>
  </cols>
  <sheetData>
    <row r="1" spans="1:29" ht="20.149999999999999" customHeight="1" x14ac:dyDescent="0.25">
      <c r="A1" s="372" t="str">
        <f>Parametros!D4&amp;" - "&amp;Parametros!D5</f>
        <v>1306304542001 - VELIZ NAPA JAVIER</v>
      </c>
      <c r="B1" s="322"/>
      <c r="C1" s="322"/>
      <c r="D1" s="322"/>
      <c r="E1" s="323"/>
      <c r="F1" s="323"/>
      <c r="G1" s="322"/>
      <c r="H1" s="322"/>
      <c r="I1" s="325"/>
      <c r="J1" s="372"/>
      <c r="K1" s="322"/>
      <c r="L1" s="322"/>
      <c r="M1" s="324"/>
      <c r="N1" s="324"/>
      <c r="O1" s="322"/>
      <c r="P1" s="325"/>
      <c r="Q1" s="372"/>
      <c r="R1" s="322"/>
      <c r="S1" s="322"/>
      <c r="T1" s="322"/>
      <c r="U1" s="322"/>
      <c r="V1" s="324"/>
      <c r="W1" s="322"/>
      <c r="X1" s="322"/>
      <c r="Y1" s="322"/>
      <c r="Z1" s="322"/>
      <c r="AA1" s="322"/>
      <c r="AB1" s="322"/>
      <c r="AC1" s="325"/>
    </row>
    <row r="2" spans="1:29" ht="19.5" customHeight="1" x14ac:dyDescent="0.25">
      <c r="A2" s="373" t="s">
        <v>2257</v>
      </c>
      <c r="B2" s="334"/>
      <c r="C2" s="322"/>
      <c r="D2" s="322"/>
      <c r="E2" s="323"/>
      <c r="F2" s="323"/>
      <c r="G2" s="322"/>
      <c r="H2" s="322"/>
      <c r="I2" s="325"/>
      <c r="J2" s="373"/>
      <c r="K2" s="334"/>
      <c r="L2" s="334"/>
      <c r="M2" s="324"/>
      <c r="N2" s="324"/>
      <c r="O2" s="334"/>
      <c r="P2" s="325"/>
      <c r="Q2" s="373"/>
      <c r="R2" s="334"/>
      <c r="S2" s="334"/>
      <c r="T2" s="322"/>
      <c r="U2" s="334"/>
      <c r="V2" s="324"/>
      <c r="W2" s="322"/>
      <c r="X2" s="334"/>
      <c r="Y2" s="334"/>
      <c r="Z2" s="334"/>
      <c r="AA2" s="322"/>
      <c r="AB2" s="322"/>
      <c r="AC2" s="325"/>
    </row>
    <row r="3" spans="1:29" s="344" customFormat="1" ht="16" hidden="1" customHeight="1" x14ac:dyDescent="0.25">
      <c r="A3" s="336"/>
      <c r="B3" s="338"/>
      <c r="C3" s="338"/>
      <c r="D3" s="338"/>
      <c r="E3" s="338"/>
      <c r="F3" s="338"/>
      <c r="G3" s="338"/>
      <c r="H3" s="338"/>
      <c r="I3" s="337"/>
      <c r="J3" s="336"/>
      <c r="K3" s="338"/>
      <c r="L3" s="338"/>
      <c r="M3" s="339"/>
      <c r="N3" s="339"/>
      <c r="O3" s="338"/>
      <c r="P3" s="337"/>
      <c r="Q3" s="336"/>
      <c r="R3" s="338"/>
      <c r="S3" s="338"/>
      <c r="T3" s="338"/>
      <c r="U3" s="338"/>
      <c r="V3" s="339"/>
      <c r="W3" s="338"/>
      <c r="X3" s="338"/>
      <c r="Y3" s="338"/>
      <c r="Z3" s="338"/>
      <c r="AA3" s="338"/>
      <c r="AB3" s="338"/>
      <c r="AC3" s="337"/>
    </row>
    <row r="4" spans="1:29" s="615" customFormat="1" ht="14.5" customHeight="1" x14ac:dyDescent="0.35">
      <c r="A4" s="370"/>
      <c r="B4" s="775" t="str">
        <f>"# Registros COMPRAS : " &amp; COUNTIF(M:M,"&gt;0")</f>
        <v># Registros COMPRAS : 3</v>
      </c>
      <c r="C4" s="616"/>
      <c r="D4" s="595" t="s">
        <v>2276</v>
      </c>
      <c r="E4" s="601"/>
      <c r="F4" s="601"/>
      <c r="G4" s="601"/>
      <c r="H4" s="777"/>
      <c r="I4" s="613"/>
      <c r="J4" s="595" t="s">
        <v>2277</v>
      </c>
      <c r="K4" s="595"/>
      <c r="L4" s="595"/>
      <c r="M4" s="619"/>
      <c r="N4" s="620"/>
      <c r="O4" s="595"/>
      <c r="P4" s="613"/>
      <c r="Q4" s="776" t="s">
        <v>2278</v>
      </c>
      <c r="R4" s="595"/>
      <c r="S4" s="776"/>
      <c r="T4" s="595" t="s">
        <v>2273</v>
      </c>
      <c r="U4" s="595"/>
      <c r="V4" s="619"/>
      <c r="W4" s="601"/>
      <c r="X4" s="778"/>
      <c r="Y4" s="595"/>
      <c r="Z4" s="776"/>
      <c r="AA4" s="598"/>
      <c r="AB4" s="598"/>
      <c r="AC4" s="613"/>
    </row>
    <row r="5" spans="1:29" s="351" customFormat="1" ht="16" customHeight="1" x14ac:dyDescent="0.25">
      <c r="A5" s="1286" t="s">
        <v>2275</v>
      </c>
      <c r="B5" s="1288" t="s">
        <v>2274</v>
      </c>
      <c r="C5" s="1284" t="s">
        <v>2255</v>
      </c>
      <c r="D5" s="1288" t="s">
        <v>688</v>
      </c>
      <c r="E5" s="1288" t="s">
        <v>689</v>
      </c>
      <c r="F5" s="1288" t="s">
        <v>690</v>
      </c>
      <c r="G5" s="1288" t="s">
        <v>691</v>
      </c>
      <c r="H5" s="1292" t="s">
        <v>692</v>
      </c>
      <c r="I5" s="811"/>
      <c r="J5" s="1286" t="s">
        <v>2258</v>
      </c>
      <c r="K5" s="1288" t="s">
        <v>2259</v>
      </c>
      <c r="L5" s="1288" t="s">
        <v>2260</v>
      </c>
      <c r="M5" s="1282" t="s">
        <v>2262</v>
      </c>
      <c r="N5" s="1282" t="s">
        <v>2261</v>
      </c>
      <c r="O5" s="1292" t="s">
        <v>2263</v>
      </c>
      <c r="P5" s="811"/>
      <c r="Q5" s="1286" t="s">
        <v>2264</v>
      </c>
      <c r="R5" s="1288" t="s">
        <v>2265</v>
      </c>
      <c r="S5" s="1288" t="s">
        <v>2268</v>
      </c>
      <c r="T5" s="1288" t="s">
        <v>2270</v>
      </c>
      <c r="U5" s="1288" t="s">
        <v>2271</v>
      </c>
      <c r="V5" s="1282" t="s">
        <v>2279</v>
      </c>
      <c r="W5" s="1288" t="s">
        <v>2272</v>
      </c>
      <c r="X5" s="1288" t="s">
        <v>2266</v>
      </c>
      <c r="Y5" s="1288" t="s">
        <v>2269</v>
      </c>
      <c r="Z5" s="1288" t="s">
        <v>2267</v>
      </c>
      <c r="AA5" s="1363" t="s">
        <v>746</v>
      </c>
      <c r="AB5" s="1361" t="s">
        <v>2283</v>
      </c>
      <c r="AC5" s="534"/>
    </row>
    <row r="6" spans="1:29" s="536" customFormat="1" ht="47.15" customHeight="1" x14ac:dyDescent="0.35">
      <c r="A6" s="1287"/>
      <c r="B6" s="1289"/>
      <c r="C6" s="1285"/>
      <c r="D6" s="1289"/>
      <c r="E6" s="1289"/>
      <c r="F6" s="1289"/>
      <c r="G6" s="1289"/>
      <c r="H6" s="1293"/>
      <c r="I6" s="916"/>
      <c r="J6" s="1287"/>
      <c r="K6" s="1289"/>
      <c r="L6" s="1289"/>
      <c r="M6" s="1283"/>
      <c r="N6" s="1283"/>
      <c r="O6" s="1293"/>
      <c r="P6" s="916"/>
      <c r="Q6" s="1287"/>
      <c r="R6" s="1289"/>
      <c r="S6" s="1289"/>
      <c r="T6" s="1289"/>
      <c r="U6" s="1289"/>
      <c r="V6" s="1283"/>
      <c r="W6" s="1289"/>
      <c r="X6" s="1289"/>
      <c r="Y6" s="1289"/>
      <c r="Z6" s="1289"/>
      <c r="AA6" s="1364"/>
      <c r="AB6" s="1362"/>
      <c r="AC6" s="535"/>
    </row>
    <row r="7" spans="1:29" x14ac:dyDescent="0.25">
      <c r="A7" s="880"/>
      <c r="B7" s="880"/>
      <c r="C7" s="881"/>
      <c r="D7" s="880" t="s">
        <v>26</v>
      </c>
      <c r="E7" s="882" t="s">
        <v>8</v>
      </c>
      <c r="F7" s="882" t="s">
        <v>8</v>
      </c>
      <c r="G7" s="880"/>
      <c r="H7" s="880"/>
      <c r="I7" s="881"/>
      <c r="J7" s="880"/>
      <c r="K7" s="880"/>
      <c r="L7" s="880"/>
      <c r="M7" s="886">
        <v>45462</v>
      </c>
      <c r="N7" s="886">
        <v>45462</v>
      </c>
      <c r="O7" s="880"/>
      <c r="P7" s="881"/>
      <c r="Q7" s="880"/>
      <c r="R7" s="880"/>
      <c r="S7" s="880"/>
      <c r="T7" s="880" t="s">
        <v>1035</v>
      </c>
      <c r="U7" s="880"/>
      <c r="V7" s="886">
        <v>45462</v>
      </c>
      <c r="W7" s="880"/>
      <c r="X7" s="880"/>
      <c r="Y7" s="880"/>
      <c r="Z7" s="880"/>
      <c r="AA7" s="880"/>
      <c r="AB7" s="880"/>
    </row>
    <row r="8" spans="1:29" x14ac:dyDescent="0.25">
      <c r="A8" s="880"/>
      <c r="B8" s="880"/>
      <c r="C8" s="881"/>
      <c r="D8" s="880" t="s">
        <v>26</v>
      </c>
      <c r="E8" s="882" t="s">
        <v>8</v>
      </c>
      <c r="F8" s="882" t="s">
        <v>8</v>
      </c>
      <c r="G8" s="880"/>
      <c r="H8" s="880"/>
      <c r="I8" s="881"/>
      <c r="J8" s="880"/>
      <c r="K8" s="880"/>
      <c r="L8" s="880"/>
      <c r="M8" s="886">
        <v>45462</v>
      </c>
      <c r="N8" s="886">
        <v>45462</v>
      </c>
      <c r="O8" s="880"/>
      <c r="P8" s="881"/>
      <c r="Q8" s="880"/>
      <c r="R8" s="880"/>
      <c r="S8" s="880"/>
      <c r="T8" s="880" t="s">
        <v>1035</v>
      </c>
      <c r="U8" s="880"/>
      <c r="V8" s="886">
        <v>45462</v>
      </c>
      <c r="W8" s="880"/>
      <c r="X8" s="880"/>
      <c r="Y8" s="880"/>
      <c r="Z8" s="880"/>
      <c r="AA8" s="880"/>
      <c r="AB8" s="880"/>
    </row>
    <row r="9" spans="1:29" x14ac:dyDescent="0.25">
      <c r="A9" s="863"/>
      <c r="B9" s="863"/>
      <c r="C9" s="434"/>
      <c r="D9" s="863" t="s">
        <v>26</v>
      </c>
      <c r="E9" s="864" t="s">
        <v>8</v>
      </c>
      <c r="F9" s="864" t="s">
        <v>8</v>
      </c>
      <c r="G9" s="863"/>
      <c r="H9" s="863"/>
      <c r="I9" s="434"/>
      <c r="J9" s="863"/>
      <c r="K9" s="863"/>
      <c r="L9" s="863"/>
      <c r="M9" s="865">
        <v>45462</v>
      </c>
      <c r="N9" s="865">
        <v>45462</v>
      </c>
      <c r="O9" s="863"/>
      <c r="P9" s="434"/>
      <c r="Q9" s="863"/>
      <c r="R9" s="863"/>
      <c r="S9" s="863"/>
      <c r="T9" s="863" t="s">
        <v>1035</v>
      </c>
      <c r="U9" s="863"/>
      <c r="V9" s="865">
        <v>45462</v>
      </c>
      <c r="W9" s="863"/>
      <c r="X9" s="863"/>
      <c r="Y9" s="863"/>
      <c r="Z9" s="863"/>
      <c r="AA9" s="863"/>
      <c r="AB9" s="863"/>
    </row>
  </sheetData>
  <autoFilter ref="A6:AC6" xr:uid="{8AA16ABB-469A-45DD-A272-F745DF90E6AC}"/>
  <mergeCells count="26">
    <mergeCell ref="AA5:AA6"/>
    <mergeCell ref="Y5:Y6"/>
    <mergeCell ref="M5:M6"/>
    <mergeCell ref="N5:N6"/>
    <mergeCell ref="L5:L6"/>
    <mergeCell ref="O5:O6"/>
    <mergeCell ref="V5:V6"/>
    <mergeCell ref="W5:W6"/>
    <mergeCell ref="Q5:Q6"/>
    <mergeCell ref="R5:R6"/>
    <mergeCell ref="A5:A6"/>
    <mergeCell ref="B5:B6"/>
    <mergeCell ref="C5:C6"/>
    <mergeCell ref="AB5:AB6"/>
    <mergeCell ref="D5:D6"/>
    <mergeCell ref="E5:E6"/>
    <mergeCell ref="F5:F6"/>
    <mergeCell ref="G5:G6"/>
    <mergeCell ref="H5:H6"/>
    <mergeCell ref="Z5:Z6"/>
    <mergeCell ref="S5:S6"/>
    <mergeCell ref="J5:J6"/>
    <mergeCell ref="K5:K6"/>
    <mergeCell ref="X5:X6"/>
    <mergeCell ref="T5:T6"/>
    <mergeCell ref="U5:U6"/>
  </mergeCells>
  <dataValidations count="5">
    <dataValidation type="textLength" errorStyle="warning" allowBlank="1" showInputMessage="1" showErrorMessage="1" errorTitle="Validación de datos" error="Debe ingresar los 10 o 37 o 49 caracteres correspondientes en cada celda ó dejarla vacia de ser el caso." sqref="H1 W1:Z1 W7:Z1048576 H7:H1048576" xr:uid="{02B5B895-C819-4122-8D9E-2A63359FF2EC}">
      <formula1>10</formula1>
      <formula2>49</formula2>
    </dataValidation>
    <dataValidation type="textLength" errorStyle="warning" operator="equal" allowBlank="1" showInputMessage="1" showErrorMessage="1" errorTitle="Validación de datos" error="Debe ingresar los 3 caracteres correspondientes en cada celda ó dejarla vacia de ser el caso." sqref="E5:F5 E7:F1048576" xr:uid="{C5DFF715-ADD1-426C-832B-25C3F7B32E24}">
      <formula1>3</formula1>
    </dataValidation>
    <dataValidation type="textLength" errorStyle="warning" operator="equal" allowBlank="1" showInputMessage="1" showErrorMessage="1" errorTitle="Validación de datos" error="Debe ingresar los 10 caracteres correspondientes en cada celda ó dejarla vacia de ser el caso." sqref="H5 W5:Z5" xr:uid="{F40E75EB-14C7-4262-89D1-7FA25797A188}">
      <formula1>10</formula1>
    </dataValidation>
    <dataValidation type="list" allowBlank="1" showInputMessage="1" showErrorMessage="1" sqref="T7:T1048576 D7:D1048576" xr:uid="{DDDBC489-9936-41E5-AC29-C2F33AD8E788}">
      <formula1>ComprobantesCOM</formula1>
    </dataValidation>
    <dataValidation type="list" allowBlank="1" showInputMessage="1" showErrorMessage="1" sqref="C7:C1048576" xr:uid="{B51A2903-0F8C-4A15-87E4-15BF3114640A}">
      <formula1>"E-EMITIDO,R-RECIBIDO"</formula1>
    </dataValidation>
  </dataValidations>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DC08A0-8A97-4086-9193-5E8E2591E338}">
  <sheetPr codeName="Hoja20">
    <pageSetUpPr fitToPage="1"/>
  </sheetPr>
  <dimension ref="A1:K312"/>
  <sheetViews>
    <sheetView showGridLines="0" showRowColHeaders="0" topLeftCell="C1" zoomScale="80" zoomScaleNormal="80" workbookViewId="0">
      <selection activeCell="C1" sqref="C1"/>
    </sheetView>
  </sheetViews>
  <sheetFormatPr baseColWidth="10" defaultColWidth="10.81640625" defaultRowHeight="14.5" x14ac:dyDescent="0.35"/>
  <cols>
    <col min="1" max="1" width="10.453125" style="1" hidden="1" customWidth="1"/>
    <col min="2" max="2" width="12.1796875" style="2" hidden="1" customWidth="1"/>
    <col min="3" max="3" width="10.81640625" style="384"/>
    <col min="4" max="4" width="5.54296875" style="385" hidden="1" customWidth="1"/>
    <col min="5" max="5" width="54.81640625" style="1" customWidth="1"/>
    <col min="6" max="6" width="10.26953125" style="1" customWidth="1"/>
    <col min="7" max="9" width="11.453125" style="1" customWidth="1"/>
    <col min="10" max="10" width="12.26953125" style="1" customWidth="1"/>
    <col min="11" max="11" width="11.453125" style="1" customWidth="1"/>
    <col min="12" max="16384" width="10.81640625" style="1"/>
  </cols>
  <sheetData>
    <row r="1" spans="1:11" x14ac:dyDescent="0.35">
      <c r="C1" s="393" t="s">
        <v>1461</v>
      </c>
      <c r="D1" s="394"/>
      <c r="E1" s="395"/>
      <c r="F1" s="395"/>
      <c r="G1" s="395"/>
      <c r="H1" s="395"/>
      <c r="I1" s="395"/>
      <c r="J1" s="395"/>
      <c r="K1" s="395"/>
    </row>
    <row r="2" spans="1:11" x14ac:dyDescent="0.35">
      <c r="C2" s="393" t="s">
        <v>1462</v>
      </c>
      <c r="D2" s="394"/>
      <c r="E2" s="395"/>
      <c r="F2" s="395"/>
      <c r="G2" s="395"/>
      <c r="H2" s="395"/>
      <c r="I2" s="395"/>
      <c r="J2" s="395"/>
      <c r="K2" s="395"/>
    </row>
    <row r="3" spans="1:11" x14ac:dyDescent="0.35">
      <c r="C3" s="393" t="s">
        <v>1463</v>
      </c>
      <c r="D3" s="394"/>
      <c r="E3" s="395"/>
      <c r="F3" s="395"/>
      <c r="G3" s="395"/>
      <c r="H3" s="395"/>
      <c r="I3" s="395"/>
      <c r="J3" s="395"/>
      <c r="K3" s="395"/>
    </row>
    <row r="4" spans="1:11" x14ac:dyDescent="0.35">
      <c r="C4" s="395" t="s">
        <v>1541</v>
      </c>
      <c r="D4" s="394"/>
      <c r="E4" s="395"/>
      <c r="F4" s="395"/>
      <c r="G4" s="395"/>
      <c r="H4" s="395"/>
      <c r="I4" s="395"/>
      <c r="J4" s="395"/>
      <c r="K4" s="395"/>
    </row>
    <row r="5" spans="1:11" x14ac:dyDescent="0.35">
      <c r="C5" s="395" t="s">
        <v>2421</v>
      </c>
      <c r="D5" s="394"/>
      <c r="E5" s="395"/>
      <c r="F5" s="395"/>
      <c r="G5" s="395"/>
      <c r="H5" s="395"/>
      <c r="I5" s="395"/>
      <c r="J5" s="395"/>
      <c r="K5" s="395"/>
    </row>
    <row r="6" spans="1:11" x14ac:dyDescent="0.35">
      <c r="C6" s="395" t="s">
        <v>2406</v>
      </c>
      <c r="D6" s="395"/>
      <c r="E6" s="395"/>
      <c r="F6" s="395"/>
      <c r="G6" s="395"/>
      <c r="H6" s="395"/>
      <c r="I6" s="395"/>
      <c r="J6" s="395"/>
      <c r="K6" s="395"/>
    </row>
    <row r="7" spans="1:11" x14ac:dyDescent="0.35">
      <c r="C7" s="395" t="s">
        <v>2407</v>
      </c>
      <c r="D7" s="394"/>
      <c r="E7" s="395"/>
      <c r="F7" s="395"/>
      <c r="G7" s="395"/>
      <c r="H7" s="395"/>
      <c r="I7" s="395"/>
      <c r="J7" s="395"/>
      <c r="K7" s="395"/>
    </row>
    <row r="8" spans="1:11" x14ac:dyDescent="0.35">
      <c r="C8" s="395"/>
      <c r="D8" s="394"/>
      <c r="E8" s="395"/>
      <c r="F8" s="395"/>
      <c r="G8" s="395"/>
      <c r="H8" s="395"/>
      <c r="I8" s="395"/>
      <c r="J8" s="395"/>
      <c r="K8" s="395"/>
    </row>
    <row r="9" spans="1:11" x14ac:dyDescent="0.35">
      <c r="C9" s="395"/>
      <c r="D9" s="394"/>
      <c r="E9" s="395"/>
      <c r="F9" s="395"/>
      <c r="G9" s="395"/>
      <c r="H9" s="395"/>
      <c r="I9" s="395"/>
      <c r="J9" s="395"/>
      <c r="K9" s="395"/>
    </row>
    <row r="10" spans="1:11" x14ac:dyDescent="0.35">
      <c r="C10" s="384" t="s">
        <v>2405</v>
      </c>
      <c r="E10" s="382"/>
    </row>
    <row r="11" spans="1:11" x14ac:dyDescent="0.35">
      <c r="E11" s="382"/>
    </row>
    <row r="12" spans="1:11" x14ac:dyDescent="0.35">
      <c r="B12" s="2" t="str">
        <f>IF(SUM(F$14:K$42)&gt;0,"SI","NO")</f>
        <v>SI</v>
      </c>
      <c r="C12" s="386" t="s">
        <v>1337</v>
      </c>
      <c r="D12" s="387"/>
      <c r="E12" s="388"/>
      <c r="F12" s="388"/>
      <c r="G12" s="388"/>
      <c r="H12" s="388"/>
      <c r="I12" s="388"/>
      <c r="J12" s="388"/>
      <c r="K12" s="389"/>
    </row>
    <row r="13" spans="1:11" s="402" customFormat="1" ht="44.15" customHeight="1" x14ac:dyDescent="0.35">
      <c r="B13" s="2" t="str">
        <f>IF(SUM(F$14:K$42)&gt;0,"SI","NO")</f>
        <v>SI</v>
      </c>
      <c r="C13" s="400" t="s">
        <v>1352</v>
      </c>
      <c r="D13" s="400"/>
      <c r="E13" s="401" t="s">
        <v>1338</v>
      </c>
      <c r="F13" s="401" t="s">
        <v>1353</v>
      </c>
      <c r="G13" s="401" t="s">
        <v>1465</v>
      </c>
      <c r="H13" s="401" t="s">
        <v>1466</v>
      </c>
      <c r="I13" s="401" t="s">
        <v>1467</v>
      </c>
      <c r="J13" s="401" t="s">
        <v>1471</v>
      </c>
      <c r="K13" s="401" t="s">
        <v>1354</v>
      </c>
    </row>
    <row r="14" spans="1:11" x14ac:dyDescent="0.35">
      <c r="A14" s="1" t="s">
        <v>1337</v>
      </c>
      <c r="B14" s="2" t="str">
        <f>IF(SUM(F14:K14)&gt;0,"SI","NO")</f>
        <v>SI</v>
      </c>
      <c r="C14" s="390" t="s">
        <v>611</v>
      </c>
      <c r="D14" s="417" t="s">
        <v>773</v>
      </c>
      <c r="E14" s="391" t="s">
        <v>1342</v>
      </c>
      <c r="F14" s="422">
        <v>48</v>
      </c>
      <c r="G14" s="420">
        <v>0</v>
      </c>
      <c r="H14" s="420">
        <v>0</v>
      </c>
      <c r="I14" s="420">
        <v>0</v>
      </c>
      <c r="J14" s="420">
        <v>0</v>
      </c>
      <c r="K14" s="420">
        <v>0</v>
      </c>
    </row>
    <row r="15" spans="1:11" x14ac:dyDescent="0.35">
      <c r="A15" s="1" t="s">
        <v>1337</v>
      </c>
      <c r="B15" s="2" t="str">
        <f t="shared" ref="B15:B42" si="0">IF(SUM(F15:K15)&gt;0,"SI","NO")</f>
        <v>NO</v>
      </c>
      <c r="C15" s="390" t="s">
        <v>612</v>
      </c>
      <c r="D15" s="417" t="s">
        <v>773</v>
      </c>
      <c r="E15" s="391" t="s">
        <v>1355</v>
      </c>
      <c r="F15" s="422"/>
      <c r="G15" s="420"/>
      <c r="H15" s="420"/>
      <c r="I15" s="420"/>
      <c r="J15" s="420"/>
      <c r="K15" s="420"/>
    </row>
    <row r="16" spans="1:11" x14ac:dyDescent="0.35">
      <c r="A16" s="1" t="s">
        <v>1337</v>
      </c>
      <c r="B16" s="2" t="str">
        <f t="shared" si="0"/>
        <v>SI</v>
      </c>
      <c r="C16" s="390" t="s">
        <v>613</v>
      </c>
      <c r="D16" s="417" t="s">
        <v>773</v>
      </c>
      <c r="E16" s="391" t="s">
        <v>1356</v>
      </c>
      <c r="F16" s="422">
        <v>6</v>
      </c>
      <c r="G16" s="420">
        <v>0</v>
      </c>
      <c r="H16" s="420">
        <v>0</v>
      </c>
      <c r="I16" s="420">
        <v>0</v>
      </c>
      <c r="J16" s="420">
        <v>0</v>
      </c>
      <c r="K16" s="420">
        <v>0</v>
      </c>
    </row>
    <row r="17" spans="1:11" x14ac:dyDescent="0.35">
      <c r="A17" s="1" t="s">
        <v>1337</v>
      </c>
      <c r="B17" s="2" t="str">
        <f t="shared" si="0"/>
        <v>NO</v>
      </c>
      <c r="C17" s="390" t="s">
        <v>614</v>
      </c>
      <c r="D17" s="417" t="s">
        <v>1460</v>
      </c>
      <c r="E17" s="391" t="s">
        <v>1357</v>
      </c>
      <c r="F17" s="422"/>
      <c r="G17" s="420"/>
      <c r="H17" s="420"/>
      <c r="I17" s="420"/>
      <c r="J17" s="420"/>
      <c r="K17" s="420"/>
    </row>
    <row r="18" spans="1:11" x14ac:dyDescent="0.35">
      <c r="A18" s="1" t="s">
        <v>1337</v>
      </c>
      <c r="B18" s="2" t="str">
        <f t="shared" si="0"/>
        <v>NO</v>
      </c>
      <c r="C18" s="390" t="s">
        <v>615</v>
      </c>
      <c r="D18" s="417" t="s">
        <v>773</v>
      </c>
      <c r="E18" s="391" t="s">
        <v>1358</v>
      </c>
      <c r="F18" s="422"/>
      <c r="G18" s="420"/>
      <c r="H18" s="420"/>
      <c r="I18" s="420"/>
      <c r="J18" s="420"/>
      <c r="K18" s="420"/>
    </row>
    <row r="19" spans="1:11" x14ac:dyDescent="0.35">
      <c r="A19" s="1" t="s">
        <v>1337</v>
      </c>
      <c r="B19" s="2" t="str">
        <f t="shared" si="0"/>
        <v>NO</v>
      </c>
      <c r="C19" s="390" t="s">
        <v>619</v>
      </c>
      <c r="D19" s="417" t="s">
        <v>773</v>
      </c>
      <c r="E19" s="391" t="s">
        <v>1359</v>
      </c>
      <c r="F19" s="422"/>
      <c r="G19" s="420"/>
      <c r="H19" s="420"/>
      <c r="I19" s="420"/>
      <c r="J19" s="420"/>
      <c r="K19" s="420"/>
    </row>
    <row r="20" spans="1:11" x14ac:dyDescent="0.35">
      <c r="A20" s="1" t="s">
        <v>1337</v>
      </c>
      <c r="B20" s="2" t="str">
        <f t="shared" si="0"/>
        <v>NO</v>
      </c>
      <c r="C20" s="390" t="s">
        <v>620</v>
      </c>
      <c r="D20" s="417" t="s">
        <v>773</v>
      </c>
      <c r="E20" s="391" t="s">
        <v>1360</v>
      </c>
      <c r="F20" s="422"/>
      <c r="G20" s="420"/>
      <c r="H20" s="420"/>
      <c r="I20" s="420"/>
      <c r="J20" s="420"/>
      <c r="K20" s="420"/>
    </row>
    <row r="21" spans="1:11" x14ac:dyDescent="0.35">
      <c r="A21" s="1" t="s">
        <v>1337</v>
      </c>
      <c r="B21" s="2" t="str">
        <f t="shared" si="0"/>
        <v>NO</v>
      </c>
      <c r="C21" s="390" t="s">
        <v>621</v>
      </c>
      <c r="D21" s="417" t="s">
        <v>773</v>
      </c>
      <c r="E21" s="391" t="s">
        <v>1361</v>
      </c>
      <c r="F21" s="422"/>
      <c r="G21" s="420"/>
      <c r="H21" s="420"/>
      <c r="I21" s="420"/>
      <c r="J21" s="420"/>
      <c r="K21" s="420"/>
    </row>
    <row r="22" spans="1:11" x14ac:dyDescent="0.35">
      <c r="A22" s="1" t="s">
        <v>1337</v>
      </c>
      <c r="B22" s="2" t="str">
        <f t="shared" si="0"/>
        <v>NO</v>
      </c>
      <c r="C22" s="390" t="s">
        <v>622</v>
      </c>
      <c r="D22" s="417" t="s">
        <v>773</v>
      </c>
      <c r="E22" s="391" t="s">
        <v>1362</v>
      </c>
      <c r="F22" s="422"/>
      <c r="G22" s="420"/>
      <c r="H22" s="420"/>
      <c r="I22" s="420"/>
      <c r="J22" s="420"/>
      <c r="K22" s="420"/>
    </row>
    <row r="23" spans="1:11" x14ac:dyDescent="0.35">
      <c r="A23" s="1" t="s">
        <v>1337</v>
      </c>
      <c r="B23" s="2" t="str">
        <f t="shared" si="0"/>
        <v>NO</v>
      </c>
      <c r="C23" s="390" t="s">
        <v>1363</v>
      </c>
      <c r="D23" s="417" t="s">
        <v>773</v>
      </c>
      <c r="E23" s="391" t="s">
        <v>1364</v>
      </c>
      <c r="F23" s="422"/>
      <c r="G23" s="420"/>
      <c r="H23" s="420"/>
      <c r="I23" s="420"/>
      <c r="J23" s="420"/>
      <c r="K23" s="420"/>
    </row>
    <row r="24" spans="1:11" x14ac:dyDescent="0.35">
      <c r="A24" s="1" t="s">
        <v>1337</v>
      </c>
      <c r="B24" s="2" t="str">
        <f t="shared" si="0"/>
        <v>NO</v>
      </c>
      <c r="C24" s="390" t="s">
        <v>1365</v>
      </c>
      <c r="D24" s="417" t="s">
        <v>773</v>
      </c>
      <c r="E24" s="391" t="s">
        <v>1366</v>
      </c>
      <c r="F24" s="422"/>
      <c r="G24" s="420"/>
      <c r="H24" s="420"/>
      <c r="I24" s="420"/>
      <c r="J24" s="420"/>
      <c r="K24" s="420"/>
    </row>
    <row r="25" spans="1:11" x14ac:dyDescent="0.35">
      <c r="A25" s="1" t="s">
        <v>1337</v>
      </c>
      <c r="B25" s="2" t="str">
        <f t="shared" si="0"/>
        <v>NO</v>
      </c>
      <c r="C25" s="390" t="s">
        <v>623</v>
      </c>
      <c r="D25" s="417" t="s">
        <v>773</v>
      </c>
      <c r="E25" s="391" t="s">
        <v>1367</v>
      </c>
      <c r="F25" s="422"/>
      <c r="G25" s="420"/>
      <c r="H25" s="420"/>
      <c r="I25" s="420"/>
      <c r="J25" s="420"/>
      <c r="K25" s="420"/>
    </row>
    <row r="26" spans="1:11" ht="14.5" customHeight="1" x14ac:dyDescent="0.35">
      <c r="A26" s="1" t="s">
        <v>1337</v>
      </c>
      <c r="B26" s="2" t="str">
        <f t="shared" si="0"/>
        <v>NO</v>
      </c>
      <c r="C26" s="390" t="s">
        <v>616</v>
      </c>
      <c r="D26" s="417" t="s">
        <v>773</v>
      </c>
      <c r="E26" s="391" t="s">
        <v>1368</v>
      </c>
      <c r="F26" s="422"/>
      <c r="G26" s="420"/>
      <c r="H26" s="420"/>
      <c r="I26" s="420"/>
      <c r="J26" s="420"/>
      <c r="K26" s="420"/>
    </row>
    <row r="27" spans="1:11" ht="14.5" customHeight="1" x14ac:dyDescent="0.35">
      <c r="A27" s="1" t="s">
        <v>1337</v>
      </c>
      <c r="B27" s="2" t="str">
        <f t="shared" si="0"/>
        <v>NO</v>
      </c>
      <c r="C27" s="390" t="s">
        <v>617</v>
      </c>
      <c r="D27" s="417" t="s">
        <v>773</v>
      </c>
      <c r="E27" s="391" t="s">
        <v>1369</v>
      </c>
      <c r="F27" s="422"/>
      <c r="G27" s="420"/>
      <c r="H27" s="420"/>
      <c r="I27" s="420"/>
      <c r="J27" s="420"/>
      <c r="K27" s="420"/>
    </row>
    <row r="28" spans="1:11" ht="14.5" customHeight="1" x14ac:dyDescent="0.35">
      <c r="A28" s="1" t="s">
        <v>1337</v>
      </c>
      <c r="B28" s="2" t="str">
        <f t="shared" si="0"/>
        <v>NO</v>
      </c>
      <c r="C28" s="390" t="s">
        <v>618</v>
      </c>
      <c r="D28" s="417" t="s">
        <v>773</v>
      </c>
      <c r="E28" s="391" t="s">
        <v>1370</v>
      </c>
      <c r="F28" s="422"/>
      <c r="G28" s="420"/>
      <c r="H28" s="420"/>
      <c r="I28" s="420"/>
      <c r="J28" s="420"/>
      <c r="K28" s="420"/>
    </row>
    <row r="29" spans="1:11" ht="14.5" customHeight="1" x14ac:dyDescent="0.35">
      <c r="A29" s="1" t="s">
        <v>1337</v>
      </c>
      <c r="B29" s="2" t="str">
        <f t="shared" si="0"/>
        <v>SI</v>
      </c>
      <c r="C29" s="390" t="s">
        <v>629</v>
      </c>
      <c r="D29" s="417" t="s">
        <v>773</v>
      </c>
      <c r="E29" s="391" t="s">
        <v>1343</v>
      </c>
      <c r="F29" s="422">
        <v>2</v>
      </c>
      <c r="G29" s="420">
        <v>0</v>
      </c>
      <c r="H29" s="420">
        <v>0</v>
      </c>
      <c r="I29" s="420">
        <v>0</v>
      </c>
      <c r="J29" s="420">
        <v>0</v>
      </c>
      <c r="K29" s="420">
        <v>0</v>
      </c>
    </row>
    <row r="30" spans="1:11" ht="14.5" customHeight="1" x14ac:dyDescent="0.35">
      <c r="A30" s="1" t="s">
        <v>1337</v>
      </c>
      <c r="B30" s="2" t="str">
        <f t="shared" si="0"/>
        <v>NO</v>
      </c>
      <c r="C30" s="390" t="s">
        <v>630</v>
      </c>
      <c r="D30" s="417" t="s">
        <v>773</v>
      </c>
      <c r="E30" s="391" t="s">
        <v>1371</v>
      </c>
      <c r="F30" s="422"/>
      <c r="G30" s="420"/>
      <c r="H30" s="420"/>
      <c r="I30" s="420"/>
      <c r="J30" s="420"/>
      <c r="K30" s="420"/>
    </row>
    <row r="31" spans="1:11" ht="14.5" customHeight="1" x14ac:dyDescent="0.35">
      <c r="A31" s="1" t="s">
        <v>1337</v>
      </c>
      <c r="B31" s="2" t="str">
        <f t="shared" si="0"/>
        <v>NO</v>
      </c>
      <c r="C31" s="390" t="s">
        <v>631</v>
      </c>
      <c r="D31" s="417" t="s">
        <v>773</v>
      </c>
      <c r="E31" s="391" t="s">
        <v>1372</v>
      </c>
      <c r="F31" s="422"/>
      <c r="G31" s="420"/>
      <c r="H31" s="420"/>
      <c r="I31" s="420"/>
      <c r="J31" s="420"/>
      <c r="K31" s="420"/>
    </row>
    <row r="32" spans="1:11" ht="14.5" customHeight="1" x14ac:dyDescent="0.35">
      <c r="A32" s="1" t="s">
        <v>1337</v>
      </c>
      <c r="B32" s="2" t="str">
        <f t="shared" si="0"/>
        <v>NO</v>
      </c>
      <c r="C32" s="390" t="s">
        <v>633</v>
      </c>
      <c r="D32" s="417" t="s">
        <v>773</v>
      </c>
      <c r="E32" s="391" t="s">
        <v>1373</v>
      </c>
      <c r="F32" s="422"/>
      <c r="G32" s="420"/>
      <c r="H32" s="420"/>
      <c r="I32" s="420"/>
      <c r="J32" s="420"/>
      <c r="K32" s="420"/>
    </row>
    <row r="33" spans="1:11" ht="14.5" customHeight="1" x14ac:dyDescent="0.35">
      <c r="A33" s="1" t="s">
        <v>1337</v>
      </c>
      <c r="B33" s="2" t="str">
        <f t="shared" si="0"/>
        <v>NO</v>
      </c>
      <c r="C33" s="390" t="s">
        <v>634</v>
      </c>
      <c r="D33" s="417" t="s">
        <v>1460</v>
      </c>
      <c r="E33" s="391" t="s">
        <v>1374</v>
      </c>
      <c r="F33" s="422"/>
      <c r="G33" s="420"/>
      <c r="H33" s="420"/>
      <c r="I33" s="420"/>
      <c r="J33" s="420"/>
      <c r="K33" s="420"/>
    </row>
    <row r="34" spans="1:11" ht="14.5" customHeight="1" x14ac:dyDescent="0.35">
      <c r="A34" s="1" t="s">
        <v>1337</v>
      </c>
      <c r="B34" s="2" t="str">
        <f t="shared" si="0"/>
        <v>NO</v>
      </c>
      <c r="C34" s="390" t="s">
        <v>635</v>
      </c>
      <c r="D34" s="417" t="s">
        <v>773</v>
      </c>
      <c r="E34" s="391" t="s">
        <v>1375</v>
      </c>
      <c r="F34" s="422"/>
      <c r="G34" s="420"/>
      <c r="H34" s="420"/>
      <c r="I34" s="420"/>
      <c r="J34" s="420"/>
      <c r="K34" s="420"/>
    </row>
    <row r="35" spans="1:11" ht="14.5" customHeight="1" x14ac:dyDescent="0.35">
      <c r="A35" s="1" t="s">
        <v>1337</v>
      </c>
      <c r="B35" s="2" t="str">
        <f t="shared" si="0"/>
        <v>NO</v>
      </c>
      <c r="C35" s="390" t="s">
        <v>1451</v>
      </c>
      <c r="D35" s="417" t="s">
        <v>773</v>
      </c>
      <c r="E35" s="391" t="s">
        <v>1376</v>
      </c>
      <c r="F35" s="422"/>
      <c r="G35" s="420"/>
      <c r="H35" s="420"/>
      <c r="I35" s="420"/>
      <c r="J35" s="420"/>
      <c r="K35" s="420"/>
    </row>
    <row r="36" spans="1:11" ht="14.5" customHeight="1" x14ac:dyDescent="0.35">
      <c r="A36" s="1" t="s">
        <v>1337</v>
      </c>
      <c r="B36" s="2" t="str">
        <f t="shared" si="0"/>
        <v>NO</v>
      </c>
      <c r="C36" s="390" t="s">
        <v>1452</v>
      </c>
      <c r="D36" s="417" t="s">
        <v>773</v>
      </c>
      <c r="E36" s="391" t="s">
        <v>1377</v>
      </c>
      <c r="F36" s="422"/>
      <c r="G36" s="420"/>
      <c r="H36" s="420"/>
      <c r="I36" s="420"/>
      <c r="J36" s="420"/>
      <c r="K36" s="420"/>
    </row>
    <row r="37" spans="1:11" x14ac:dyDescent="0.35">
      <c r="A37" s="1" t="s">
        <v>1337</v>
      </c>
      <c r="B37" s="2" t="str">
        <f t="shared" si="0"/>
        <v>NO</v>
      </c>
      <c r="C37" s="390" t="s">
        <v>1453</v>
      </c>
      <c r="D37" s="417" t="s">
        <v>773</v>
      </c>
      <c r="E37" s="391" t="s">
        <v>1378</v>
      </c>
      <c r="F37" s="422"/>
      <c r="G37" s="420"/>
      <c r="H37" s="420"/>
      <c r="I37" s="420"/>
      <c r="J37" s="420"/>
      <c r="K37" s="420"/>
    </row>
    <row r="38" spans="1:11" x14ac:dyDescent="0.35">
      <c r="A38" s="1" t="s">
        <v>1337</v>
      </c>
      <c r="B38" s="2" t="str">
        <f t="shared" si="0"/>
        <v>NO</v>
      </c>
      <c r="C38" s="390" t="s">
        <v>1393</v>
      </c>
      <c r="D38" s="417" t="s">
        <v>773</v>
      </c>
      <c r="E38" s="391" t="s">
        <v>1379</v>
      </c>
      <c r="F38" s="422"/>
      <c r="G38" s="420"/>
      <c r="H38" s="420"/>
      <c r="I38" s="420"/>
      <c r="J38" s="420"/>
      <c r="K38" s="420"/>
    </row>
    <row r="39" spans="1:11" x14ac:dyDescent="0.35">
      <c r="A39" s="1" t="s">
        <v>1337</v>
      </c>
      <c r="B39" s="2" t="str">
        <f t="shared" si="0"/>
        <v>NO</v>
      </c>
      <c r="C39" s="390" t="s">
        <v>1394</v>
      </c>
      <c r="D39" s="417" t="s">
        <v>1460</v>
      </c>
      <c r="E39" s="391" t="s">
        <v>1380</v>
      </c>
      <c r="F39" s="422"/>
      <c r="G39" s="420"/>
      <c r="H39" s="420"/>
      <c r="I39" s="420"/>
      <c r="J39" s="420"/>
      <c r="K39" s="420"/>
    </row>
    <row r="40" spans="1:11" x14ac:dyDescent="0.35">
      <c r="A40" s="1" t="s">
        <v>1337</v>
      </c>
      <c r="B40" s="2" t="str">
        <f t="shared" si="0"/>
        <v>NO</v>
      </c>
      <c r="C40" s="390" t="s">
        <v>1395</v>
      </c>
      <c r="D40" s="417" t="s">
        <v>773</v>
      </c>
      <c r="E40" s="391" t="s">
        <v>1381</v>
      </c>
      <c r="F40" s="422"/>
      <c r="G40" s="420"/>
      <c r="H40" s="420"/>
      <c r="I40" s="420"/>
      <c r="J40" s="420"/>
      <c r="K40" s="420"/>
    </row>
    <row r="41" spans="1:11" x14ac:dyDescent="0.35">
      <c r="A41" s="1" t="s">
        <v>1337</v>
      </c>
      <c r="B41" s="2" t="str">
        <f t="shared" si="0"/>
        <v>NO</v>
      </c>
      <c r="C41" s="390" t="s">
        <v>1454</v>
      </c>
      <c r="D41" s="417" t="s">
        <v>773</v>
      </c>
      <c r="E41" s="391" t="s">
        <v>1381</v>
      </c>
      <c r="F41" s="422"/>
      <c r="G41" s="420"/>
      <c r="H41" s="420"/>
      <c r="I41" s="420"/>
      <c r="J41" s="420"/>
      <c r="K41" s="420"/>
    </row>
    <row r="42" spans="1:11" x14ac:dyDescent="0.35">
      <c r="A42" s="1" t="s">
        <v>1337</v>
      </c>
      <c r="B42" s="2" t="str">
        <f t="shared" si="0"/>
        <v>NO</v>
      </c>
      <c r="C42" s="390" t="s">
        <v>1455</v>
      </c>
      <c r="D42" s="417" t="s">
        <v>773</v>
      </c>
      <c r="E42" s="391" t="s">
        <v>1382</v>
      </c>
      <c r="F42" s="422"/>
      <c r="G42" s="420"/>
      <c r="H42" s="420"/>
      <c r="I42" s="420"/>
      <c r="J42" s="420"/>
      <c r="K42" s="420"/>
    </row>
    <row r="43" spans="1:11" s="392" customFormat="1" x14ac:dyDescent="0.35">
      <c r="B43" s="2" t="str">
        <f>IF(SUM(F$14:K$42)&gt;0,"SI","NO")</f>
        <v>SI</v>
      </c>
      <c r="C43" s="396"/>
      <c r="D43" s="397"/>
      <c r="E43" s="398"/>
      <c r="F43" s="399" t="s">
        <v>1464</v>
      </c>
      <c r="G43" s="421">
        <f>SUMIF($D14:$D42,"+",G14:G42)-SUMIF($D14:$D42,"-",G14:G42)</f>
        <v>0</v>
      </c>
      <c r="H43" s="421">
        <f>SUMIF($D14:$D42,"+",H14:H42)-SUMIF($D14:$D42,"-",H14:H42)</f>
        <v>0</v>
      </c>
      <c r="I43" s="421">
        <f>SUMIF($D14:$D42,"+",I14:I42)-SUMIF($D14:$D42,"-",I14:I42)</f>
        <v>0</v>
      </c>
      <c r="J43" s="421">
        <f>SUMIF($D14:$D42,"+",J14:J42)-SUMIF($D14:$D42,"-",J14:J42)</f>
        <v>0</v>
      </c>
      <c r="K43" s="421">
        <f>SUMIF($D14:$D42,"+",K14:K42)-SUMIF($D14:$D42,"-",K14:K42)</f>
        <v>0</v>
      </c>
    </row>
    <row r="44" spans="1:11" x14ac:dyDescent="0.35">
      <c r="B44" s="2" t="str">
        <f>IF(SUM(F$14:K$42)&gt;0,"SI","NO")</f>
        <v>SI</v>
      </c>
    </row>
    <row r="45" spans="1:11" x14ac:dyDescent="0.35">
      <c r="B45" s="2" t="str">
        <f>IF(SUM(F$47:K$63)&gt;0,"SI","NO")</f>
        <v>SI</v>
      </c>
      <c r="C45" s="386" t="s">
        <v>1340</v>
      </c>
      <c r="D45" s="387"/>
      <c r="E45" s="388"/>
      <c r="F45" s="388"/>
      <c r="G45" s="388"/>
      <c r="H45" s="388"/>
      <c r="I45" s="388"/>
      <c r="J45" s="388"/>
      <c r="K45" s="389"/>
    </row>
    <row r="46" spans="1:11" s="402" customFormat="1" ht="44.15" customHeight="1" x14ac:dyDescent="0.35">
      <c r="B46" s="2" t="str">
        <f>IF(SUM(F$47:K$63)&gt;0,"SI","NO")</f>
        <v>SI</v>
      </c>
      <c r="C46" s="400" t="s">
        <v>1352</v>
      </c>
      <c r="D46" s="400"/>
      <c r="E46" s="401" t="s">
        <v>1338</v>
      </c>
      <c r="F46" s="401" t="s">
        <v>1353</v>
      </c>
      <c r="G46" s="401" t="s">
        <v>1465</v>
      </c>
      <c r="H46" s="401" t="s">
        <v>1466</v>
      </c>
      <c r="I46" s="401" t="s">
        <v>1467</v>
      </c>
      <c r="J46" s="401" t="s">
        <v>1471</v>
      </c>
      <c r="K46" s="401" t="s">
        <v>1354</v>
      </c>
    </row>
    <row r="47" spans="1:11" ht="14.5" customHeight="1" x14ac:dyDescent="0.35">
      <c r="A47" s="1" t="s">
        <v>1340</v>
      </c>
      <c r="B47" s="2" t="str">
        <f t="shared" ref="B47:B62" si="1">IF(SUM(F47:K47)&gt;0,"SI","NO")</f>
        <v>SI</v>
      </c>
      <c r="C47" s="390" t="s">
        <v>614</v>
      </c>
      <c r="D47" s="417" t="s">
        <v>1460</v>
      </c>
      <c r="E47" s="391" t="s">
        <v>1383</v>
      </c>
      <c r="F47" s="422">
        <v>1</v>
      </c>
      <c r="G47" s="420">
        <v>0</v>
      </c>
      <c r="H47" s="420">
        <v>0</v>
      </c>
      <c r="I47" s="420">
        <v>0</v>
      </c>
      <c r="J47" s="420">
        <v>0</v>
      </c>
      <c r="K47" s="420">
        <v>0</v>
      </c>
    </row>
    <row r="48" spans="1:11" ht="14.5" customHeight="1" x14ac:dyDescent="0.35">
      <c r="A48" s="1" t="s">
        <v>1340</v>
      </c>
      <c r="B48" s="2" t="str">
        <f t="shared" si="1"/>
        <v>NO</v>
      </c>
      <c r="C48" s="390" t="s">
        <v>615</v>
      </c>
      <c r="D48" s="390" t="s">
        <v>773</v>
      </c>
      <c r="E48" s="391" t="s">
        <v>1384</v>
      </c>
      <c r="F48" s="422"/>
      <c r="G48" s="420"/>
      <c r="H48" s="420"/>
      <c r="I48" s="420"/>
      <c r="J48" s="420"/>
      <c r="K48" s="420"/>
    </row>
    <row r="49" spans="1:11" ht="14.5" customHeight="1" x14ac:dyDescent="0.35">
      <c r="A49" s="1" t="s">
        <v>1340</v>
      </c>
      <c r="B49" s="2" t="str">
        <f t="shared" si="1"/>
        <v>SI</v>
      </c>
      <c r="C49" s="390" t="s">
        <v>625</v>
      </c>
      <c r="D49" s="390" t="s">
        <v>773</v>
      </c>
      <c r="E49" s="391" t="s">
        <v>1385</v>
      </c>
      <c r="F49" s="422">
        <v>6</v>
      </c>
      <c r="G49" s="420">
        <v>0</v>
      </c>
      <c r="H49" s="420">
        <v>0</v>
      </c>
      <c r="I49" s="420">
        <v>0</v>
      </c>
      <c r="J49" s="420">
        <v>0</v>
      </c>
      <c r="K49" s="420">
        <v>0</v>
      </c>
    </row>
    <row r="50" spans="1:11" ht="14.5" customHeight="1" x14ac:dyDescent="0.35">
      <c r="A50" s="1" t="s">
        <v>1340</v>
      </c>
      <c r="B50" s="2" t="str">
        <f t="shared" si="1"/>
        <v>NO</v>
      </c>
      <c r="C50" s="390" t="s">
        <v>632</v>
      </c>
      <c r="D50" s="390" t="s">
        <v>773</v>
      </c>
      <c r="E50" s="391" t="s">
        <v>1386</v>
      </c>
      <c r="F50" s="422"/>
      <c r="G50" s="420"/>
      <c r="H50" s="420"/>
      <c r="I50" s="420"/>
      <c r="J50" s="420"/>
      <c r="K50" s="420"/>
    </row>
    <row r="51" spans="1:11" ht="14.5" customHeight="1" x14ac:dyDescent="0.35">
      <c r="A51" s="1" t="s">
        <v>1340</v>
      </c>
      <c r="B51" s="2" t="str">
        <f t="shared" si="1"/>
        <v>NO</v>
      </c>
      <c r="C51" s="390" t="s">
        <v>636</v>
      </c>
      <c r="D51" s="390" t="s">
        <v>773</v>
      </c>
      <c r="E51" s="391" t="s">
        <v>1387</v>
      </c>
      <c r="F51" s="422"/>
      <c r="G51" s="420"/>
      <c r="H51" s="420"/>
      <c r="I51" s="420"/>
      <c r="J51" s="420"/>
      <c r="K51" s="420"/>
    </row>
    <row r="52" spans="1:11" ht="14.5" customHeight="1" x14ac:dyDescent="0.35">
      <c r="A52" s="1" t="s">
        <v>1340</v>
      </c>
      <c r="B52" s="2" t="str">
        <f t="shared" si="1"/>
        <v>NO</v>
      </c>
      <c r="C52" s="390" t="s">
        <v>637</v>
      </c>
      <c r="D52" s="390" t="s">
        <v>773</v>
      </c>
      <c r="E52" s="391" t="s">
        <v>1388</v>
      </c>
      <c r="F52" s="422"/>
      <c r="G52" s="420"/>
      <c r="H52" s="420"/>
      <c r="I52" s="420"/>
      <c r="J52" s="420"/>
      <c r="K52" s="420"/>
    </row>
    <row r="53" spans="1:11" ht="14.5" customHeight="1" x14ac:dyDescent="0.35">
      <c r="A53" s="1" t="s">
        <v>1340</v>
      </c>
      <c r="B53" s="2" t="str">
        <f t="shared" si="1"/>
        <v>NO</v>
      </c>
      <c r="C53" s="390" t="s">
        <v>638</v>
      </c>
      <c r="D53" s="417" t="s">
        <v>1460</v>
      </c>
      <c r="E53" s="391" t="s">
        <v>1389</v>
      </c>
      <c r="F53" s="422"/>
      <c r="G53" s="420"/>
      <c r="H53" s="420"/>
      <c r="I53" s="420"/>
      <c r="J53" s="420"/>
      <c r="K53" s="420"/>
    </row>
    <row r="54" spans="1:11" ht="14.5" customHeight="1" x14ac:dyDescent="0.35">
      <c r="A54" s="1" t="s">
        <v>1340</v>
      </c>
      <c r="B54" s="2" t="str">
        <f t="shared" si="1"/>
        <v>NO</v>
      </c>
      <c r="C54" s="390" t="s">
        <v>639</v>
      </c>
      <c r="D54" s="390" t="s">
        <v>773</v>
      </c>
      <c r="E54" s="391" t="s">
        <v>1390</v>
      </c>
      <c r="F54" s="422"/>
      <c r="G54" s="420"/>
      <c r="H54" s="420"/>
      <c r="I54" s="420"/>
      <c r="J54" s="420"/>
      <c r="K54" s="420"/>
    </row>
    <row r="55" spans="1:11" ht="14.5" customHeight="1" x14ac:dyDescent="0.35">
      <c r="A55" s="1" t="s">
        <v>1340</v>
      </c>
      <c r="B55" s="2" t="str">
        <f t="shared" si="1"/>
        <v>NO</v>
      </c>
      <c r="C55" s="390" t="s">
        <v>1391</v>
      </c>
      <c r="D55" s="390" t="s">
        <v>773</v>
      </c>
      <c r="E55" s="391" t="s">
        <v>1392</v>
      </c>
      <c r="F55" s="422"/>
      <c r="G55" s="420"/>
      <c r="H55" s="420"/>
      <c r="I55" s="420"/>
      <c r="J55" s="420"/>
      <c r="K55" s="420"/>
    </row>
    <row r="56" spans="1:11" ht="14.5" customHeight="1" x14ac:dyDescent="0.35">
      <c r="A56" s="1" t="s">
        <v>1340</v>
      </c>
      <c r="B56" s="2" t="str">
        <f t="shared" si="1"/>
        <v>NO</v>
      </c>
      <c r="C56" s="390" t="s">
        <v>1393</v>
      </c>
      <c r="D56" s="390" t="s">
        <v>773</v>
      </c>
      <c r="E56" s="391" t="s">
        <v>1379</v>
      </c>
      <c r="F56" s="422"/>
      <c r="G56" s="420"/>
      <c r="H56" s="420"/>
      <c r="I56" s="420"/>
      <c r="J56" s="420"/>
      <c r="K56" s="420"/>
    </row>
    <row r="57" spans="1:11" ht="14.5" customHeight="1" x14ac:dyDescent="0.35">
      <c r="A57" s="1" t="s">
        <v>1340</v>
      </c>
      <c r="B57" s="2" t="str">
        <f t="shared" si="1"/>
        <v>NO</v>
      </c>
      <c r="C57" s="390" t="s">
        <v>1394</v>
      </c>
      <c r="D57" s="417" t="s">
        <v>1460</v>
      </c>
      <c r="E57" s="391" t="s">
        <v>1380</v>
      </c>
      <c r="F57" s="422"/>
      <c r="G57" s="420"/>
      <c r="H57" s="420"/>
      <c r="I57" s="420"/>
      <c r="J57" s="420"/>
      <c r="K57" s="420"/>
    </row>
    <row r="58" spans="1:11" ht="14.5" customHeight="1" x14ac:dyDescent="0.35">
      <c r="A58" s="1" t="s">
        <v>1340</v>
      </c>
      <c r="B58" s="2" t="str">
        <f t="shared" si="1"/>
        <v>NO</v>
      </c>
      <c r="C58" s="390" t="s">
        <v>1395</v>
      </c>
      <c r="D58" s="390" t="s">
        <v>773</v>
      </c>
      <c r="E58" s="391" t="s">
        <v>1381</v>
      </c>
      <c r="F58" s="422"/>
      <c r="G58" s="420"/>
      <c r="H58" s="420"/>
      <c r="I58" s="420"/>
      <c r="J58" s="420"/>
      <c r="K58" s="420"/>
    </row>
    <row r="59" spans="1:11" s="392" customFormat="1" ht="14.5" customHeight="1" x14ac:dyDescent="0.35">
      <c r="B59" s="2" t="str">
        <f>IF(SUM(F$47:K$58)&gt;0,"SI","NO")</f>
        <v>SI</v>
      </c>
      <c r="C59" s="416" t="s">
        <v>753</v>
      </c>
      <c r="D59" s="416"/>
      <c r="E59" s="398"/>
      <c r="F59" s="399" t="s">
        <v>1464</v>
      </c>
      <c r="G59" s="421">
        <f>SUMIF($D47:$D58,"+",G47:G58)-SUMIF($D47:$D58,"-",G47:G58)</f>
        <v>0</v>
      </c>
      <c r="H59" s="421">
        <f>SUMIF($D47:$D58,"+",H47:H58)-SUMIF($D47:$D58,"-",H47:H58)</f>
        <v>0</v>
      </c>
      <c r="I59" s="421">
        <f>SUMIF($D47:$D58,"+",I47:I58)-SUMIF($D47:$D58,"-",I47:I58)</f>
        <v>0</v>
      </c>
      <c r="J59" s="421">
        <f>SUMIF($D47:$D58,"+",J47:J58)-SUMIF($D47:$D58,"-",J47:J58)</f>
        <v>0</v>
      </c>
      <c r="K59" s="421">
        <f>SUMIF($D47:$D58,"+",K47:K58)-SUMIF($D47:$D58,"-",K47:K58)</f>
        <v>0</v>
      </c>
    </row>
    <row r="60" spans="1:11" x14ac:dyDescent="0.35">
      <c r="A60" s="1" t="s">
        <v>1340</v>
      </c>
      <c r="B60" s="2" t="str">
        <f t="shared" si="1"/>
        <v>NO</v>
      </c>
      <c r="C60" s="390" t="s">
        <v>629</v>
      </c>
      <c r="D60" s="390" t="s">
        <v>773</v>
      </c>
      <c r="E60" s="391" t="s">
        <v>1343</v>
      </c>
      <c r="F60" s="422"/>
      <c r="G60" s="420"/>
      <c r="H60" s="420"/>
      <c r="I60" s="420"/>
      <c r="J60" s="420"/>
      <c r="K60" s="420"/>
    </row>
    <row r="61" spans="1:11" x14ac:dyDescent="0.35">
      <c r="A61" s="1" t="s">
        <v>1340</v>
      </c>
      <c r="B61" s="2" t="str">
        <f t="shared" si="1"/>
        <v>NO</v>
      </c>
      <c r="C61" s="390" t="s">
        <v>634</v>
      </c>
      <c r="D61" s="417" t="s">
        <v>1460</v>
      </c>
      <c r="E61" s="391" t="s">
        <v>1374</v>
      </c>
      <c r="F61" s="422"/>
      <c r="G61" s="420"/>
      <c r="H61" s="420"/>
      <c r="I61" s="420"/>
      <c r="J61" s="420"/>
      <c r="K61" s="420"/>
    </row>
    <row r="62" spans="1:11" x14ac:dyDescent="0.35">
      <c r="A62" s="1" t="s">
        <v>1340</v>
      </c>
      <c r="B62" s="2" t="str">
        <f t="shared" si="1"/>
        <v>NO</v>
      </c>
      <c r="C62" s="390" t="s">
        <v>635</v>
      </c>
      <c r="D62" s="390" t="s">
        <v>773</v>
      </c>
      <c r="E62" s="391" t="s">
        <v>1375</v>
      </c>
      <c r="F62" s="422"/>
      <c r="G62" s="420"/>
      <c r="H62" s="420"/>
      <c r="I62" s="420"/>
      <c r="J62" s="420"/>
      <c r="K62" s="420"/>
    </row>
    <row r="63" spans="1:11" s="392" customFormat="1" x14ac:dyDescent="0.35">
      <c r="B63" s="2" t="str">
        <f>IF(SUM(F$60:K$62)&gt;0,"SI","NO")</f>
        <v>NO</v>
      </c>
      <c r="C63" s="396"/>
      <c r="D63" s="397"/>
      <c r="E63" s="398"/>
      <c r="F63" s="399" t="s">
        <v>1464</v>
      </c>
      <c r="G63" s="421">
        <f>SUMIF($D60:$D62,"+",G60:G62)-SUMIF($D60:$D62,"-",G60:G62)</f>
        <v>0</v>
      </c>
      <c r="H63" s="421">
        <f>SUMIF($D60:$D62,"+",H60:H62)-SUMIF($D60:$D62,"-",H60:H62)</f>
        <v>0</v>
      </c>
      <c r="I63" s="421">
        <f>SUMIF($D60:$D62,"+",I60:I62)-SUMIF($D60:$D62,"-",I60:I62)</f>
        <v>0</v>
      </c>
      <c r="J63" s="421">
        <f>SUMIF($D60:$D62,"+",J60:J62)-SUMIF($D60:$D62,"-",J60:J62)</f>
        <v>0</v>
      </c>
      <c r="K63" s="421">
        <f>SUMIF($D60:$D62,"+",K60:K62)-SUMIF($D60:$D62,"-",K60:K62)</f>
        <v>0</v>
      </c>
    </row>
    <row r="64" spans="1:11" x14ac:dyDescent="0.35">
      <c r="B64" s="2" t="str">
        <f>IF(SUM(F$47:K$63)&gt;0,"SI","NO")</f>
        <v>SI</v>
      </c>
    </row>
    <row r="65" spans="1:11" x14ac:dyDescent="0.35">
      <c r="B65" s="2" t="str">
        <f>IF(SUM(I$67:K$73)&gt;0,"SI","NO")</f>
        <v>NO</v>
      </c>
      <c r="C65" s="386" t="s">
        <v>1341</v>
      </c>
      <c r="D65" s="387"/>
      <c r="E65" s="388"/>
      <c r="F65" s="388"/>
      <c r="G65" s="388"/>
      <c r="H65" s="388"/>
      <c r="I65" s="388"/>
      <c r="J65" s="388"/>
      <c r="K65" s="389"/>
    </row>
    <row r="66" spans="1:11" s="402" customFormat="1" ht="29.15" customHeight="1" x14ac:dyDescent="0.35">
      <c r="B66" s="2" t="str">
        <f>IF(SUM(I$67:K$73)&gt;0,"SI","NO")</f>
        <v>NO</v>
      </c>
      <c r="C66" s="400" t="s">
        <v>1352</v>
      </c>
      <c r="D66" s="400"/>
      <c r="E66" s="1381" t="s">
        <v>1338</v>
      </c>
      <c r="F66" s="1382"/>
      <c r="G66" s="1382"/>
      <c r="H66" s="1383"/>
      <c r="I66" s="401" t="s">
        <v>1353</v>
      </c>
      <c r="J66" s="1372" t="s">
        <v>1396</v>
      </c>
      <c r="K66" s="1374"/>
    </row>
    <row r="67" spans="1:11" x14ac:dyDescent="0.35">
      <c r="A67" s="1" t="s">
        <v>1341</v>
      </c>
      <c r="B67" s="2" t="str">
        <f>IF(SUM(I67:K67)&gt;0,"SI","NO")</f>
        <v>NO</v>
      </c>
      <c r="C67" s="390" t="s">
        <v>611</v>
      </c>
      <c r="D67" s="390" t="s">
        <v>773</v>
      </c>
      <c r="E67" s="1368" t="s">
        <v>1397</v>
      </c>
      <c r="F67" s="1368"/>
      <c r="G67" s="1368"/>
      <c r="H67" s="1368"/>
      <c r="I67" s="423"/>
      <c r="J67" s="1377"/>
      <c r="K67" s="1378"/>
    </row>
    <row r="68" spans="1:11" x14ac:dyDescent="0.35">
      <c r="A68" s="1" t="s">
        <v>1341</v>
      </c>
      <c r="B68" s="2" t="str">
        <f t="shared" ref="B68:B73" si="2">IF(SUM(I68:K68)&gt;0,"SI","NO")</f>
        <v>NO</v>
      </c>
      <c r="C68" s="390" t="s">
        <v>614</v>
      </c>
      <c r="D68" s="417" t="s">
        <v>1460</v>
      </c>
      <c r="E68" s="1368" t="s">
        <v>1398</v>
      </c>
      <c r="F68" s="1368"/>
      <c r="G68" s="1368"/>
      <c r="H68" s="1368"/>
      <c r="I68" s="423"/>
      <c r="J68" s="1377"/>
      <c r="K68" s="1378"/>
    </row>
    <row r="69" spans="1:11" x14ac:dyDescent="0.35">
      <c r="A69" s="1" t="s">
        <v>1341</v>
      </c>
      <c r="B69" s="2" t="str">
        <f t="shared" si="2"/>
        <v>NO</v>
      </c>
      <c r="C69" s="390" t="s">
        <v>615</v>
      </c>
      <c r="D69" s="390" t="s">
        <v>773</v>
      </c>
      <c r="E69" s="1368" t="s">
        <v>1399</v>
      </c>
      <c r="F69" s="1368"/>
      <c r="G69" s="1368"/>
      <c r="H69" s="1368"/>
      <c r="I69" s="423"/>
      <c r="J69" s="1377"/>
      <c r="K69" s="1378"/>
    </row>
    <row r="70" spans="1:11" x14ac:dyDescent="0.35">
      <c r="A70" s="1" t="s">
        <v>1341</v>
      </c>
      <c r="B70" s="2" t="str">
        <f t="shared" si="2"/>
        <v>NO</v>
      </c>
      <c r="C70" s="390" t="s">
        <v>624</v>
      </c>
      <c r="D70" s="390" t="s">
        <v>773</v>
      </c>
      <c r="E70" s="1368" t="s">
        <v>1400</v>
      </c>
      <c r="F70" s="1368"/>
      <c r="G70" s="1368"/>
      <c r="H70" s="1368"/>
      <c r="I70" s="423"/>
      <c r="J70" s="1377"/>
      <c r="K70" s="1378"/>
    </row>
    <row r="71" spans="1:11" x14ac:dyDescent="0.35">
      <c r="A71" s="1" t="s">
        <v>1341</v>
      </c>
      <c r="B71" s="2" t="str">
        <f t="shared" si="2"/>
        <v>NO</v>
      </c>
      <c r="C71" s="390" t="s">
        <v>629</v>
      </c>
      <c r="D71" s="390" t="s">
        <v>773</v>
      </c>
      <c r="E71" s="1368" t="s">
        <v>1343</v>
      </c>
      <c r="F71" s="1368"/>
      <c r="G71" s="1368"/>
      <c r="H71" s="1368"/>
      <c r="I71" s="423"/>
      <c r="J71" s="1377"/>
      <c r="K71" s="1378"/>
    </row>
    <row r="72" spans="1:11" x14ac:dyDescent="0.35">
      <c r="A72" s="1" t="s">
        <v>1341</v>
      </c>
      <c r="B72" s="2" t="str">
        <f t="shared" si="2"/>
        <v>NO</v>
      </c>
      <c r="C72" s="390" t="s">
        <v>634</v>
      </c>
      <c r="D72" s="417" t="s">
        <v>1460</v>
      </c>
      <c r="E72" s="1368" t="s">
        <v>1374</v>
      </c>
      <c r="F72" s="1368"/>
      <c r="G72" s="1368"/>
      <c r="H72" s="1368"/>
      <c r="I72" s="423"/>
      <c r="J72" s="1377"/>
      <c r="K72" s="1378"/>
    </row>
    <row r="73" spans="1:11" x14ac:dyDescent="0.35">
      <c r="A73" s="1" t="s">
        <v>1341</v>
      </c>
      <c r="B73" s="2" t="str">
        <f t="shared" si="2"/>
        <v>NO</v>
      </c>
      <c r="C73" s="390" t="s">
        <v>635</v>
      </c>
      <c r="D73" s="390" t="s">
        <v>773</v>
      </c>
      <c r="E73" s="1368" t="s">
        <v>1375</v>
      </c>
      <c r="F73" s="1368"/>
      <c r="G73" s="1368"/>
      <c r="H73" s="1368"/>
      <c r="I73" s="423"/>
      <c r="J73" s="1377"/>
      <c r="K73" s="1378"/>
    </row>
    <row r="74" spans="1:11" s="392" customFormat="1" x14ac:dyDescent="0.35">
      <c r="B74" s="2" t="str">
        <f>IF(SUM(I$67:K$73)&gt;0,"SI","NO")</f>
        <v>NO</v>
      </c>
      <c r="C74" s="396"/>
      <c r="D74" s="397"/>
      <c r="E74" s="398"/>
      <c r="F74" s="398"/>
      <c r="G74" s="1384"/>
      <c r="H74" s="1385"/>
      <c r="I74" s="399" t="s">
        <v>1464</v>
      </c>
      <c r="J74" s="1379">
        <f>SUMIF($D67:$D73,"+",J67:K73)-SUMIF($D67:$D73,"-",J67:K73)</f>
        <v>0</v>
      </c>
      <c r="K74" s="1380"/>
    </row>
    <row r="75" spans="1:11" x14ac:dyDescent="0.35">
      <c r="B75" s="2" t="str">
        <f>IF(SUM(I$67:K$73)&gt;0,"SI","NO")</f>
        <v>NO</v>
      </c>
    </row>
    <row r="76" spans="1:11" x14ac:dyDescent="0.35">
      <c r="B76" s="2" t="str">
        <f>IF(SUM(I$78:K$78)&gt;0,"SI","NO")</f>
        <v>NO</v>
      </c>
      <c r="C76" s="386" t="s">
        <v>1344</v>
      </c>
      <c r="D76" s="387"/>
      <c r="E76" s="388"/>
      <c r="F76" s="388"/>
      <c r="G76" s="388"/>
      <c r="H76" s="388"/>
      <c r="I76" s="388"/>
      <c r="J76" s="388"/>
      <c r="K76" s="389"/>
    </row>
    <row r="77" spans="1:11" ht="7.5" customHeight="1" x14ac:dyDescent="0.35">
      <c r="B77" s="2" t="str">
        <f>IF(SUM(I$78:K$78)&gt;0,"SI","NO")</f>
        <v>NO</v>
      </c>
    </row>
    <row r="78" spans="1:11" x14ac:dyDescent="0.35">
      <c r="A78" s="1" t="s">
        <v>1523</v>
      </c>
      <c r="B78" s="2" t="str">
        <f>IF(SUM(I$78:K$78)&gt;0,"SI","NO")</f>
        <v>NO</v>
      </c>
      <c r="C78" s="403" t="s">
        <v>1401</v>
      </c>
      <c r="D78" s="403"/>
      <c r="E78" s="404"/>
      <c r="F78" s="404"/>
      <c r="G78" s="405"/>
      <c r="H78" s="410"/>
      <c r="I78" s="408">
        <v>0</v>
      </c>
      <c r="J78" s="408"/>
      <c r="K78" s="407"/>
    </row>
    <row r="79" spans="1:11" x14ac:dyDescent="0.35">
      <c r="B79" s="2" t="str">
        <f>IF(SUM(I$78:K$78)&gt;0,"SI","NO")</f>
        <v>NO</v>
      </c>
    </row>
    <row r="80" spans="1:11" s="383" customFormat="1" ht="21.65" customHeight="1" x14ac:dyDescent="0.35">
      <c r="B80" s="2" t="str">
        <f>IF(SUM(I$84:K$237)&gt;0,"SI","NO")</f>
        <v>SI</v>
      </c>
      <c r="C80" s="1390" t="s">
        <v>1402</v>
      </c>
      <c r="D80" s="1391"/>
      <c r="E80" s="1391"/>
      <c r="F80" s="1391"/>
      <c r="G80" s="1391"/>
      <c r="H80" s="1391"/>
      <c r="I80" s="1391"/>
      <c r="J80" s="1391"/>
      <c r="K80" s="1392"/>
    </row>
    <row r="81" spans="1:11" x14ac:dyDescent="0.35">
      <c r="B81" s="2" t="str">
        <f>IF(SUM(I$84:K$237)&gt;0,"SI","NO")</f>
        <v>SI</v>
      </c>
    </row>
    <row r="82" spans="1:11" x14ac:dyDescent="0.35">
      <c r="B82" s="2" t="str">
        <f>IF(SUM(I$84:K$219)&gt;0,"SI","NO")</f>
        <v>SI</v>
      </c>
      <c r="C82" s="1369" t="s">
        <v>1403</v>
      </c>
      <c r="D82" s="1370"/>
      <c r="E82" s="1370"/>
      <c r="F82" s="1370"/>
      <c r="G82" s="1370"/>
      <c r="H82" s="1370"/>
      <c r="I82" s="1370"/>
      <c r="J82" s="1370"/>
      <c r="K82" s="1371"/>
    </row>
    <row r="83" spans="1:11" s="402" customFormat="1" ht="29" x14ac:dyDescent="0.35">
      <c r="B83" s="2" t="str">
        <f>IF(SUM(I$84:K$219)&gt;0,"SI","NO")</f>
        <v>SI</v>
      </c>
      <c r="C83" s="400" t="s">
        <v>1352</v>
      </c>
      <c r="D83" s="400"/>
      <c r="E83" s="1381" t="s">
        <v>1404</v>
      </c>
      <c r="F83" s="1382"/>
      <c r="G83" s="1382"/>
      <c r="H83" s="1383"/>
      <c r="I83" s="401" t="s">
        <v>1353</v>
      </c>
      <c r="J83" s="401" t="s">
        <v>1405</v>
      </c>
      <c r="K83" s="401" t="s">
        <v>1038</v>
      </c>
    </row>
    <row r="84" spans="1:11" ht="14.5" customHeight="1" x14ac:dyDescent="0.35">
      <c r="A84" s="1" t="s">
        <v>1509</v>
      </c>
      <c r="B84" s="2" t="str">
        <f>IF(SUM(I84:K84)&gt;0,"SI","NO")</f>
        <v>NO</v>
      </c>
      <c r="C84" s="390" t="s">
        <v>2430</v>
      </c>
      <c r="D84" s="390" t="s">
        <v>773</v>
      </c>
      <c r="E84" s="1393" t="s">
        <v>2431</v>
      </c>
      <c r="F84" s="1394"/>
      <c r="G84" s="1394"/>
      <c r="H84" s="1395"/>
      <c r="I84" s="423"/>
      <c r="J84" s="420"/>
      <c r="K84" s="420"/>
    </row>
    <row r="85" spans="1:11" ht="14.5" customHeight="1" x14ac:dyDescent="0.35">
      <c r="A85" s="1" t="s">
        <v>1509</v>
      </c>
      <c r="B85" s="2" t="str">
        <f t="shared" ref="B85" si="3">IF(SUM(I85:K85)&gt;0,"SI","NO")</f>
        <v>NO</v>
      </c>
      <c r="C85" s="390" t="s">
        <v>1474</v>
      </c>
      <c r="D85" s="390" t="s">
        <v>773</v>
      </c>
      <c r="E85" s="1393" t="s">
        <v>80</v>
      </c>
      <c r="F85" s="1394"/>
      <c r="G85" s="1394"/>
      <c r="H85" s="1395"/>
      <c r="I85" s="423"/>
      <c r="J85" s="420"/>
      <c r="K85" s="420"/>
    </row>
    <row r="86" spans="1:11" ht="14.5" customHeight="1" x14ac:dyDescent="0.35">
      <c r="A86" s="1" t="s">
        <v>1509</v>
      </c>
      <c r="B86" s="2" t="str">
        <f t="shared" ref="B86:B149" si="4">IF(SUM(I86:K86)&gt;0,"SI","NO")</f>
        <v>NO</v>
      </c>
      <c r="C86" s="390" t="s">
        <v>1456</v>
      </c>
      <c r="D86" s="390" t="s">
        <v>773</v>
      </c>
      <c r="E86" s="1365" t="s">
        <v>81</v>
      </c>
      <c r="F86" s="1366"/>
      <c r="G86" s="1366"/>
      <c r="H86" s="1367"/>
      <c r="I86" s="423"/>
      <c r="J86" s="420"/>
      <c r="K86" s="420"/>
    </row>
    <row r="87" spans="1:11" ht="14.5" customHeight="1" x14ac:dyDescent="0.35">
      <c r="A87" s="1" t="s">
        <v>1509</v>
      </c>
      <c r="B87" s="2" t="str">
        <f t="shared" si="4"/>
        <v>NO</v>
      </c>
      <c r="C87" s="390" t="s">
        <v>82</v>
      </c>
      <c r="D87" s="390" t="s">
        <v>773</v>
      </c>
      <c r="E87" s="1365" t="s">
        <v>83</v>
      </c>
      <c r="F87" s="1366"/>
      <c r="G87" s="1366"/>
      <c r="H87" s="1367"/>
      <c r="I87" s="423"/>
      <c r="J87" s="420"/>
      <c r="K87" s="420"/>
    </row>
    <row r="88" spans="1:11" ht="14.5" customHeight="1" x14ac:dyDescent="0.35">
      <c r="A88" s="1" t="s">
        <v>1509</v>
      </c>
      <c r="B88" s="2" t="str">
        <f t="shared" si="4"/>
        <v>NO</v>
      </c>
      <c r="C88" s="390" t="s">
        <v>84</v>
      </c>
      <c r="D88" s="390" t="s">
        <v>773</v>
      </c>
      <c r="E88" s="1365" t="s">
        <v>85</v>
      </c>
      <c r="F88" s="1366"/>
      <c r="G88" s="1366"/>
      <c r="H88" s="1367"/>
      <c r="I88" s="423"/>
      <c r="J88" s="420"/>
      <c r="K88" s="420"/>
    </row>
    <row r="89" spans="1:11" ht="14.5" customHeight="1" x14ac:dyDescent="0.35">
      <c r="A89" s="1" t="s">
        <v>1509</v>
      </c>
      <c r="B89" s="2" t="str">
        <f t="shared" si="4"/>
        <v>NO</v>
      </c>
      <c r="C89" s="390" t="s">
        <v>86</v>
      </c>
      <c r="D89" s="390" t="s">
        <v>773</v>
      </c>
      <c r="E89" s="1365" t="s">
        <v>87</v>
      </c>
      <c r="F89" s="1366"/>
      <c r="G89" s="1366"/>
      <c r="H89" s="1367"/>
      <c r="I89" s="423"/>
      <c r="J89" s="420"/>
      <c r="K89" s="420"/>
    </row>
    <row r="90" spans="1:11" ht="14.5" customHeight="1" x14ac:dyDescent="0.35">
      <c r="A90" s="1" t="s">
        <v>1509</v>
      </c>
      <c r="B90" s="2" t="str">
        <f t="shared" si="4"/>
        <v>NO</v>
      </c>
      <c r="C90" s="390" t="s">
        <v>88</v>
      </c>
      <c r="D90" s="390" t="s">
        <v>773</v>
      </c>
      <c r="E90" s="1365" t="s">
        <v>89</v>
      </c>
      <c r="F90" s="1366"/>
      <c r="G90" s="1366"/>
      <c r="H90" s="1367"/>
      <c r="I90" s="423"/>
      <c r="J90" s="420"/>
      <c r="K90" s="420"/>
    </row>
    <row r="91" spans="1:11" ht="14.5" customHeight="1" x14ac:dyDescent="0.35">
      <c r="A91" s="1" t="s">
        <v>1509</v>
      </c>
      <c r="B91" s="2" t="str">
        <f t="shared" si="4"/>
        <v>NO</v>
      </c>
      <c r="C91" s="390" t="s">
        <v>90</v>
      </c>
      <c r="D91" s="390" t="s">
        <v>773</v>
      </c>
      <c r="E91" s="1365" t="s">
        <v>91</v>
      </c>
      <c r="F91" s="1366"/>
      <c r="G91" s="1366"/>
      <c r="H91" s="1367"/>
      <c r="I91" s="423"/>
      <c r="J91" s="420"/>
      <c r="K91" s="420"/>
    </row>
    <row r="92" spans="1:11" ht="14.5" customHeight="1" x14ac:dyDescent="0.35">
      <c r="A92" s="1" t="s">
        <v>1509</v>
      </c>
      <c r="B92" s="2" t="str">
        <f t="shared" si="4"/>
        <v>NO</v>
      </c>
      <c r="C92" s="390" t="s">
        <v>1475</v>
      </c>
      <c r="D92" s="390" t="s">
        <v>773</v>
      </c>
      <c r="E92" s="1365" t="s">
        <v>92</v>
      </c>
      <c r="F92" s="1366"/>
      <c r="G92" s="1366"/>
      <c r="H92" s="1367"/>
      <c r="I92" s="423"/>
      <c r="J92" s="420"/>
      <c r="K92" s="420"/>
    </row>
    <row r="93" spans="1:11" ht="14.5" customHeight="1" x14ac:dyDescent="0.35">
      <c r="A93" s="1" t="s">
        <v>1509</v>
      </c>
      <c r="B93" s="2" t="str">
        <f t="shared" si="4"/>
        <v>NO</v>
      </c>
      <c r="C93" s="390" t="s">
        <v>1476</v>
      </c>
      <c r="D93" s="390" t="s">
        <v>773</v>
      </c>
      <c r="E93" s="1365" t="s">
        <v>93</v>
      </c>
      <c r="F93" s="1366"/>
      <c r="G93" s="1366"/>
      <c r="H93" s="1367"/>
      <c r="I93" s="423"/>
      <c r="J93" s="420"/>
      <c r="K93" s="420"/>
    </row>
    <row r="94" spans="1:11" ht="14.5" customHeight="1" x14ac:dyDescent="0.35">
      <c r="A94" s="1" t="s">
        <v>1509</v>
      </c>
      <c r="B94" s="2" t="str">
        <f t="shared" si="4"/>
        <v>NO</v>
      </c>
      <c r="C94" s="390" t="s">
        <v>1477</v>
      </c>
      <c r="D94" s="390" t="s">
        <v>773</v>
      </c>
      <c r="E94" s="1365" t="s">
        <v>94</v>
      </c>
      <c r="F94" s="1366"/>
      <c r="G94" s="1366"/>
      <c r="H94" s="1367"/>
      <c r="I94" s="423"/>
      <c r="J94" s="420"/>
      <c r="K94" s="420"/>
    </row>
    <row r="95" spans="1:11" ht="14.5" customHeight="1" x14ac:dyDescent="0.35">
      <c r="A95" s="1" t="s">
        <v>1509</v>
      </c>
      <c r="B95" s="2" t="str">
        <f t="shared" si="4"/>
        <v>NO</v>
      </c>
      <c r="C95" s="390" t="s">
        <v>1478</v>
      </c>
      <c r="D95" s="390" t="s">
        <v>773</v>
      </c>
      <c r="E95" s="1365" t="s">
        <v>95</v>
      </c>
      <c r="F95" s="1366"/>
      <c r="G95" s="1366"/>
      <c r="H95" s="1367"/>
      <c r="I95" s="423"/>
      <c r="J95" s="420"/>
      <c r="K95" s="420"/>
    </row>
    <row r="96" spans="1:11" ht="14.5" customHeight="1" x14ac:dyDescent="0.35">
      <c r="A96" s="1" t="s">
        <v>1509</v>
      </c>
      <c r="B96" s="2" t="str">
        <f t="shared" si="4"/>
        <v>NO</v>
      </c>
      <c r="C96" s="390" t="s">
        <v>1479</v>
      </c>
      <c r="D96" s="390" t="s">
        <v>773</v>
      </c>
      <c r="E96" s="1365" t="s">
        <v>1125</v>
      </c>
      <c r="F96" s="1366"/>
      <c r="G96" s="1366"/>
      <c r="H96" s="1367"/>
      <c r="I96" s="423"/>
      <c r="J96" s="420"/>
      <c r="K96" s="420"/>
    </row>
    <row r="97" spans="1:11" ht="14.5" customHeight="1" x14ac:dyDescent="0.35">
      <c r="A97" s="1" t="s">
        <v>1509</v>
      </c>
      <c r="B97" s="2" t="str">
        <f t="shared" si="4"/>
        <v>NO</v>
      </c>
      <c r="C97" s="390" t="s">
        <v>1480</v>
      </c>
      <c r="D97" s="390" t="s">
        <v>773</v>
      </c>
      <c r="E97" s="1365" t="s">
        <v>96</v>
      </c>
      <c r="F97" s="1366"/>
      <c r="G97" s="1366"/>
      <c r="H97" s="1367"/>
      <c r="I97" s="423"/>
      <c r="J97" s="420"/>
      <c r="K97" s="420"/>
    </row>
    <row r="98" spans="1:11" ht="14.5" customHeight="1" x14ac:dyDescent="0.35">
      <c r="A98" s="1" t="s">
        <v>1509</v>
      </c>
      <c r="B98" s="2" t="str">
        <f t="shared" si="4"/>
        <v>NO</v>
      </c>
      <c r="C98" s="390" t="s">
        <v>97</v>
      </c>
      <c r="D98" s="390" t="s">
        <v>773</v>
      </c>
      <c r="E98" s="1365" t="s">
        <v>98</v>
      </c>
      <c r="F98" s="1366"/>
      <c r="G98" s="1366"/>
      <c r="H98" s="1367"/>
      <c r="I98" s="423"/>
      <c r="J98" s="420"/>
      <c r="K98" s="420"/>
    </row>
    <row r="99" spans="1:11" ht="14.5" customHeight="1" x14ac:dyDescent="0.35">
      <c r="A99" s="1" t="s">
        <v>1509</v>
      </c>
      <c r="B99" s="2" t="str">
        <f t="shared" si="4"/>
        <v>NO</v>
      </c>
      <c r="C99" s="390" t="s">
        <v>1044</v>
      </c>
      <c r="D99" s="390" t="s">
        <v>773</v>
      </c>
      <c r="E99" s="1365" t="s">
        <v>1045</v>
      </c>
      <c r="F99" s="1366"/>
      <c r="G99" s="1366"/>
      <c r="H99" s="1367"/>
      <c r="I99" s="423"/>
      <c r="J99" s="420"/>
      <c r="K99" s="420"/>
    </row>
    <row r="100" spans="1:11" ht="14.5" customHeight="1" x14ac:dyDescent="0.35">
      <c r="A100" s="1" t="s">
        <v>1509</v>
      </c>
      <c r="B100" s="2" t="str">
        <f t="shared" si="4"/>
        <v>NO</v>
      </c>
      <c r="C100" s="390" t="s">
        <v>99</v>
      </c>
      <c r="D100" s="390" t="s">
        <v>773</v>
      </c>
      <c r="E100" s="1365" t="s">
        <v>100</v>
      </c>
      <c r="F100" s="1366"/>
      <c r="G100" s="1366"/>
      <c r="H100" s="1367"/>
      <c r="I100" s="423"/>
      <c r="J100" s="420"/>
      <c r="K100" s="420"/>
    </row>
    <row r="101" spans="1:11" ht="14.5" customHeight="1" x14ac:dyDescent="0.35">
      <c r="A101" s="1" t="s">
        <v>1509</v>
      </c>
      <c r="B101" s="2" t="str">
        <f t="shared" si="4"/>
        <v>NO</v>
      </c>
      <c r="C101" s="390" t="s">
        <v>101</v>
      </c>
      <c r="D101" s="390" t="s">
        <v>773</v>
      </c>
      <c r="E101" s="1365" t="s">
        <v>102</v>
      </c>
      <c r="F101" s="1366"/>
      <c r="G101" s="1366"/>
      <c r="H101" s="1367"/>
      <c r="I101" s="423"/>
      <c r="J101" s="420"/>
      <c r="K101" s="420"/>
    </row>
    <row r="102" spans="1:11" ht="14.5" customHeight="1" x14ac:dyDescent="0.35">
      <c r="A102" s="1" t="s">
        <v>1509</v>
      </c>
      <c r="B102" s="2" t="str">
        <f t="shared" si="4"/>
        <v>NO</v>
      </c>
      <c r="C102" s="390" t="s">
        <v>103</v>
      </c>
      <c r="D102" s="390" t="s">
        <v>773</v>
      </c>
      <c r="E102" s="1365" t="s">
        <v>104</v>
      </c>
      <c r="F102" s="1366"/>
      <c r="G102" s="1366"/>
      <c r="H102" s="1367"/>
      <c r="I102" s="423"/>
      <c r="J102" s="420"/>
      <c r="K102" s="420"/>
    </row>
    <row r="103" spans="1:11" ht="14.5" customHeight="1" x14ac:dyDescent="0.35">
      <c r="A103" s="1" t="s">
        <v>1509</v>
      </c>
      <c r="B103" s="2" t="str">
        <f t="shared" si="4"/>
        <v>NO</v>
      </c>
      <c r="C103" s="390" t="s">
        <v>105</v>
      </c>
      <c r="D103" s="390" t="s">
        <v>773</v>
      </c>
      <c r="E103" s="1365" t="s">
        <v>106</v>
      </c>
      <c r="F103" s="1366"/>
      <c r="G103" s="1366"/>
      <c r="H103" s="1367"/>
      <c r="I103" s="423"/>
      <c r="J103" s="420"/>
      <c r="K103" s="420"/>
    </row>
    <row r="104" spans="1:11" ht="14.5" customHeight="1" x14ac:dyDescent="0.35">
      <c r="A104" s="1" t="s">
        <v>1509</v>
      </c>
      <c r="B104" s="2" t="str">
        <f t="shared" si="4"/>
        <v>NO</v>
      </c>
      <c r="C104" s="390" t="s">
        <v>1481</v>
      </c>
      <c r="D104" s="390" t="s">
        <v>773</v>
      </c>
      <c r="E104" s="1365" t="s">
        <v>1126</v>
      </c>
      <c r="F104" s="1366"/>
      <c r="G104" s="1366"/>
      <c r="H104" s="1367"/>
      <c r="I104" s="423"/>
      <c r="J104" s="420"/>
      <c r="K104" s="420"/>
    </row>
    <row r="105" spans="1:11" ht="14.5" customHeight="1" x14ac:dyDescent="0.35">
      <c r="A105" s="1" t="s">
        <v>1509</v>
      </c>
      <c r="B105" s="2" t="str">
        <f t="shared" si="4"/>
        <v>NO</v>
      </c>
      <c r="C105" s="390" t="s">
        <v>1482</v>
      </c>
      <c r="D105" s="390" t="s">
        <v>773</v>
      </c>
      <c r="E105" s="1365" t="s">
        <v>1127</v>
      </c>
      <c r="F105" s="1366"/>
      <c r="G105" s="1366"/>
      <c r="H105" s="1367"/>
      <c r="I105" s="423"/>
      <c r="J105" s="420"/>
      <c r="K105" s="420"/>
    </row>
    <row r="106" spans="1:11" ht="14.5" customHeight="1" x14ac:dyDescent="0.35">
      <c r="A106" s="1" t="s">
        <v>1509</v>
      </c>
      <c r="B106" s="2" t="str">
        <f t="shared" si="4"/>
        <v>NO</v>
      </c>
      <c r="C106" s="390" t="s">
        <v>1483</v>
      </c>
      <c r="D106" s="390" t="s">
        <v>773</v>
      </c>
      <c r="E106" s="1365" t="s">
        <v>107</v>
      </c>
      <c r="F106" s="1366"/>
      <c r="G106" s="1366"/>
      <c r="H106" s="1367"/>
      <c r="I106" s="423"/>
      <c r="J106" s="420"/>
      <c r="K106" s="420"/>
    </row>
    <row r="107" spans="1:11" ht="14.5" customHeight="1" x14ac:dyDescent="0.35">
      <c r="A107" s="1" t="s">
        <v>1509</v>
      </c>
      <c r="B107" s="2" t="str">
        <f t="shared" si="4"/>
        <v>NO</v>
      </c>
      <c r="C107" s="390" t="s">
        <v>1457</v>
      </c>
      <c r="D107" s="390" t="s">
        <v>773</v>
      </c>
      <c r="E107" s="1365" t="s">
        <v>1128</v>
      </c>
      <c r="F107" s="1366"/>
      <c r="G107" s="1366"/>
      <c r="H107" s="1367"/>
      <c r="I107" s="423"/>
      <c r="J107" s="420"/>
      <c r="K107" s="420"/>
    </row>
    <row r="108" spans="1:11" ht="14.5" customHeight="1" x14ac:dyDescent="0.35">
      <c r="A108" s="1" t="s">
        <v>1509</v>
      </c>
      <c r="B108" s="2" t="str">
        <f t="shared" si="4"/>
        <v>NO</v>
      </c>
      <c r="C108" s="390" t="s">
        <v>109</v>
      </c>
      <c r="D108" s="390" t="s">
        <v>773</v>
      </c>
      <c r="E108" s="1365" t="s">
        <v>1129</v>
      </c>
      <c r="F108" s="1366"/>
      <c r="G108" s="1366"/>
      <c r="H108" s="1367"/>
      <c r="I108" s="423"/>
      <c r="J108" s="420"/>
      <c r="K108" s="420"/>
    </row>
    <row r="109" spans="1:11" ht="14.5" customHeight="1" x14ac:dyDescent="0.35">
      <c r="A109" s="1" t="s">
        <v>1509</v>
      </c>
      <c r="B109" s="2" t="str">
        <f t="shared" si="4"/>
        <v>NO</v>
      </c>
      <c r="C109" s="390" t="s">
        <v>111</v>
      </c>
      <c r="D109" s="390" t="s">
        <v>773</v>
      </c>
      <c r="E109" s="1365" t="s">
        <v>1130</v>
      </c>
      <c r="F109" s="1366"/>
      <c r="G109" s="1366"/>
      <c r="H109" s="1367"/>
      <c r="I109" s="423"/>
      <c r="J109" s="420"/>
      <c r="K109" s="420"/>
    </row>
    <row r="110" spans="1:11" ht="14.5" customHeight="1" x14ac:dyDescent="0.35">
      <c r="A110" s="1" t="s">
        <v>1509</v>
      </c>
      <c r="B110" s="2" t="str">
        <f t="shared" si="4"/>
        <v>NO</v>
      </c>
      <c r="C110" s="390" t="s">
        <v>113</v>
      </c>
      <c r="D110" s="390" t="s">
        <v>773</v>
      </c>
      <c r="E110" s="1365" t="s">
        <v>1131</v>
      </c>
      <c r="F110" s="1366"/>
      <c r="G110" s="1366"/>
      <c r="H110" s="1367"/>
      <c r="I110" s="423"/>
      <c r="J110" s="420"/>
      <c r="K110" s="420"/>
    </row>
    <row r="111" spans="1:11" ht="14.5" customHeight="1" x14ac:dyDescent="0.35">
      <c r="A111" s="1" t="s">
        <v>1509</v>
      </c>
      <c r="B111" s="2" t="str">
        <f t="shared" si="4"/>
        <v>NO</v>
      </c>
      <c r="C111" s="390" t="s">
        <v>115</v>
      </c>
      <c r="D111" s="390" t="s">
        <v>773</v>
      </c>
      <c r="E111" s="1365" t="s">
        <v>1132</v>
      </c>
      <c r="F111" s="1366"/>
      <c r="G111" s="1366"/>
      <c r="H111" s="1367"/>
      <c r="I111" s="423"/>
      <c r="J111" s="420"/>
      <c r="K111" s="420"/>
    </row>
    <row r="112" spans="1:11" ht="14.5" customHeight="1" x14ac:dyDescent="0.35">
      <c r="A112" s="1" t="s">
        <v>1509</v>
      </c>
      <c r="B112" s="2" t="str">
        <f t="shared" si="4"/>
        <v>NO</v>
      </c>
      <c r="C112" s="390" t="s">
        <v>117</v>
      </c>
      <c r="D112" s="390" t="s">
        <v>773</v>
      </c>
      <c r="E112" s="1365" t="s">
        <v>1133</v>
      </c>
      <c r="F112" s="1366"/>
      <c r="G112" s="1366"/>
      <c r="H112" s="1367"/>
      <c r="I112" s="423"/>
      <c r="J112" s="420"/>
      <c r="K112" s="420"/>
    </row>
    <row r="113" spans="1:11" ht="14.5" customHeight="1" x14ac:dyDescent="0.35">
      <c r="A113" s="1" t="s">
        <v>1509</v>
      </c>
      <c r="B113" s="2" t="str">
        <f t="shared" si="4"/>
        <v>NO</v>
      </c>
      <c r="C113" s="390" t="s">
        <v>119</v>
      </c>
      <c r="D113" s="390" t="s">
        <v>773</v>
      </c>
      <c r="E113" s="1365" t="s">
        <v>1134</v>
      </c>
      <c r="F113" s="1366"/>
      <c r="G113" s="1366"/>
      <c r="H113" s="1367"/>
      <c r="I113" s="423"/>
      <c r="J113" s="420"/>
      <c r="K113" s="420"/>
    </row>
    <row r="114" spans="1:11" ht="14.5" customHeight="1" x14ac:dyDescent="0.35">
      <c r="A114" s="1" t="s">
        <v>1509</v>
      </c>
      <c r="B114" s="2" t="str">
        <f t="shared" si="4"/>
        <v>NO</v>
      </c>
      <c r="C114" s="390" t="s">
        <v>121</v>
      </c>
      <c r="D114" s="390" t="s">
        <v>773</v>
      </c>
      <c r="E114" s="1365" t="s">
        <v>1135</v>
      </c>
      <c r="F114" s="1366"/>
      <c r="G114" s="1366"/>
      <c r="H114" s="1367"/>
      <c r="I114" s="423"/>
      <c r="J114" s="420"/>
      <c r="K114" s="420"/>
    </row>
    <row r="115" spans="1:11" ht="14.5" customHeight="1" x14ac:dyDescent="0.35">
      <c r="A115" s="1" t="s">
        <v>1509</v>
      </c>
      <c r="B115" s="2" t="str">
        <f t="shared" si="4"/>
        <v>NO</v>
      </c>
      <c r="C115" s="390" t="s">
        <v>123</v>
      </c>
      <c r="D115" s="390" t="s">
        <v>773</v>
      </c>
      <c r="E115" s="1365" t="s">
        <v>1136</v>
      </c>
      <c r="F115" s="1366"/>
      <c r="G115" s="1366"/>
      <c r="H115" s="1367"/>
      <c r="I115" s="423"/>
      <c r="J115" s="420"/>
      <c r="K115" s="420"/>
    </row>
    <row r="116" spans="1:11" ht="14.5" customHeight="1" x14ac:dyDescent="0.35">
      <c r="A116" s="1" t="s">
        <v>1509</v>
      </c>
      <c r="B116" s="2" t="str">
        <f t="shared" si="4"/>
        <v>NO</v>
      </c>
      <c r="C116" s="390" t="s">
        <v>125</v>
      </c>
      <c r="D116" s="390" t="s">
        <v>773</v>
      </c>
      <c r="E116" s="1365" t="s">
        <v>1137</v>
      </c>
      <c r="F116" s="1366"/>
      <c r="G116" s="1366"/>
      <c r="H116" s="1367"/>
      <c r="I116" s="423"/>
      <c r="J116" s="420"/>
      <c r="K116" s="420"/>
    </row>
    <row r="117" spans="1:11" ht="14.5" customHeight="1" x14ac:dyDescent="0.35">
      <c r="A117" s="1" t="s">
        <v>1509</v>
      </c>
      <c r="B117" s="2" t="str">
        <f t="shared" si="4"/>
        <v>NO</v>
      </c>
      <c r="C117" s="390" t="s">
        <v>127</v>
      </c>
      <c r="D117" s="390" t="s">
        <v>773</v>
      </c>
      <c r="E117" s="1365" t="s">
        <v>1138</v>
      </c>
      <c r="F117" s="1366"/>
      <c r="G117" s="1366"/>
      <c r="H117" s="1367"/>
      <c r="I117" s="423"/>
      <c r="J117" s="420"/>
      <c r="K117" s="420"/>
    </row>
    <row r="118" spans="1:11" ht="14.5" customHeight="1" x14ac:dyDescent="0.35">
      <c r="A118" s="1" t="s">
        <v>1509</v>
      </c>
      <c r="B118" s="2" t="str">
        <f t="shared" si="4"/>
        <v>NO</v>
      </c>
      <c r="C118" s="390" t="s">
        <v>129</v>
      </c>
      <c r="D118" s="390" t="s">
        <v>773</v>
      </c>
      <c r="E118" s="1365" t="s">
        <v>1139</v>
      </c>
      <c r="F118" s="1366"/>
      <c r="G118" s="1366"/>
      <c r="H118" s="1367"/>
      <c r="I118" s="423"/>
      <c r="J118" s="420"/>
      <c r="K118" s="420"/>
    </row>
    <row r="119" spans="1:11" ht="14.5" customHeight="1" x14ac:dyDescent="0.35">
      <c r="A119" s="1" t="s">
        <v>1509</v>
      </c>
      <c r="B119" s="2" t="str">
        <f t="shared" si="4"/>
        <v>NO</v>
      </c>
      <c r="C119" s="390" t="s">
        <v>131</v>
      </c>
      <c r="D119" s="390" t="s">
        <v>773</v>
      </c>
      <c r="E119" s="1365" t="s">
        <v>1140</v>
      </c>
      <c r="F119" s="1366"/>
      <c r="G119" s="1366"/>
      <c r="H119" s="1367"/>
      <c r="I119" s="423"/>
      <c r="J119" s="420"/>
      <c r="K119" s="420"/>
    </row>
    <row r="120" spans="1:11" ht="14.5" customHeight="1" x14ac:dyDescent="0.35">
      <c r="A120" s="1" t="s">
        <v>1509</v>
      </c>
      <c r="B120" s="2" t="str">
        <f t="shared" si="4"/>
        <v>NO</v>
      </c>
      <c r="C120" s="390" t="s">
        <v>133</v>
      </c>
      <c r="D120" s="390" t="s">
        <v>773</v>
      </c>
      <c r="E120" s="1365" t="s">
        <v>1141</v>
      </c>
      <c r="F120" s="1366"/>
      <c r="G120" s="1366"/>
      <c r="H120" s="1367"/>
      <c r="I120" s="423"/>
      <c r="J120" s="420"/>
      <c r="K120" s="420"/>
    </row>
    <row r="121" spans="1:11" ht="14.5" customHeight="1" x14ac:dyDescent="0.35">
      <c r="A121" s="1" t="s">
        <v>1509</v>
      </c>
      <c r="B121" s="2" t="str">
        <f t="shared" si="4"/>
        <v>NO</v>
      </c>
      <c r="C121" s="390" t="s">
        <v>135</v>
      </c>
      <c r="D121" s="390" t="s">
        <v>773</v>
      </c>
      <c r="E121" s="1365" t="s">
        <v>1142</v>
      </c>
      <c r="F121" s="1366"/>
      <c r="G121" s="1366"/>
      <c r="H121" s="1367"/>
      <c r="I121" s="423"/>
      <c r="J121" s="420"/>
      <c r="K121" s="420"/>
    </row>
    <row r="122" spans="1:11" ht="14.5" customHeight="1" x14ac:dyDescent="0.35">
      <c r="A122" s="1" t="s">
        <v>1509</v>
      </c>
      <c r="B122" s="2" t="str">
        <f t="shared" si="4"/>
        <v>NO</v>
      </c>
      <c r="C122" s="390" t="s">
        <v>1046</v>
      </c>
      <c r="D122" s="390" t="s">
        <v>773</v>
      </c>
      <c r="E122" s="1365" t="s">
        <v>1047</v>
      </c>
      <c r="F122" s="1366"/>
      <c r="G122" s="1366"/>
      <c r="H122" s="1367"/>
      <c r="I122" s="423"/>
      <c r="J122" s="420"/>
      <c r="K122" s="420"/>
    </row>
    <row r="123" spans="1:11" ht="14.5" customHeight="1" x14ac:dyDescent="0.35">
      <c r="A123" s="1" t="s">
        <v>1509</v>
      </c>
      <c r="B123" s="2" t="str">
        <f t="shared" si="4"/>
        <v>NO</v>
      </c>
      <c r="C123" s="390" t="s">
        <v>1048</v>
      </c>
      <c r="D123" s="390" t="s">
        <v>773</v>
      </c>
      <c r="E123" s="1365" t="s">
        <v>1049</v>
      </c>
      <c r="F123" s="1366"/>
      <c r="G123" s="1366"/>
      <c r="H123" s="1367"/>
      <c r="I123" s="423"/>
      <c r="J123" s="420"/>
      <c r="K123" s="420"/>
    </row>
    <row r="124" spans="1:11" ht="14.5" customHeight="1" x14ac:dyDescent="0.35">
      <c r="A124" s="1" t="s">
        <v>1509</v>
      </c>
      <c r="B124" s="2" t="str">
        <f t="shared" si="4"/>
        <v>NO</v>
      </c>
      <c r="C124" s="390" t="s">
        <v>1050</v>
      </c>
      <c r="D124" s="390" t="s">
        <v>773</v>
      </c>
      <c r="E124" s="1365" t="s">
        <v>1051</v>
      </c>
      <c r="F124" s="1366"/>
      <c r="G124" s="1366"/>
      <c r="H124" s="1367"/>
      <c r="I124" s="423"/>
      <c r="J124" s="420"/>
      <c r="K124" s="420"/>
    </row>
    <row r="125" spans="1:11" ht="14.5" customHeight="1" x14ac:dyDescent="0.35">
      <c r="A125" s="1" t="s">
        <v>1509</v>
      </c>
      <c r="B125" s="2" t="str">
        <f t="shared" si="4"/>
        <v>NO</v>
      </c>
      <c r="C125" s="390" t="s">
        <v>137</v>
      </c>
      <c r="D125" s="390" t="s">
        <v>773</v>
      </c>
      <c r="E125" s="1365" t="s">
        <v>1143</v>
      </c>
      <c r="F125" s="1366"/>
      <c r="G125" s="1366"/>
      <c r="H125" s="1367"/>
      <c r="I125" s="423"/>
      <c r="J125" s="420"/>
      <c r="K125" s="420"/>
    </row>
    <row r="126" spans="1:11" ht="14.5" customHeight="1" x14ac:dyDescent="0.35">
      <c r="A126" s="1" t="s">
        <v>1509</v>
      </c>
      <c r="B126" s="2" t="str">
        <f t="shared" si="4"/>
        <v>NO</v>
      </c>
      <c r="C126" s="390" t="s">
        <v>139</v>
      </c>
      <c r="D126" s="390" t="s">
        <v>773</v>
      </c>
      <c r="E126" s="1365" t="s">
        <v>1144</v>
      </c>
      <c r="F126" s="1366"/>
      <c r="G126" s="1366"/>
      <c r="H126" s="1367"/>
      <c r="I126" s="423"/>
      <c r="J126" s="420"/>
      <c r="K126" s="420"/>
    </row>
    <row r="127" spans="1:11" ht="14.5" customHeight="1" x14ac:dyDescent="0.35">
      <c r="A127" s="1" t="s">
        <v>1509</v>
      </c>
      <c r="B127" s="2" t="str">
        <f t="shared" si="4"/>
        <v>NO</v>
      </c>
      <c r="C127" s="390" t="s">
        <v>1052</v>
      </c>
      <c r="D127" s="390" t="s">
        <v>773</v>
      </c>
      <c r="E127" s="1365" t="s">
        <v>1053</v>
      </c>
      <c r="F127" s="1366"/>
      <c r="G127" s="1366"/>
      <c r="H127" s="1367"/>
      <c r="I127" s="423"/>
      <c r="J127" s="420"/>
      <c r="K127" s="420"/>
    </row>
    <row r="128" spans="1:11" ht="14.5" customHeight="1" x14ac:dyDescent="0.35">
      <c r="A128" s="1" t="s">
        <v>1509</v>
      </c>
      <c r="B128" s="2" t="str">
        <f t="shared" si="4"/>
        <v>NO</v>
      </c>
      <c r="C128" s="390" t="s">
        <v>1484</v>
      </c>
      <c r="D128" s="390" t="s">
        <v>773</v>
      </c>
      <c r="E128" s="1365" t="s">
        <v>1168</v>
      </c>
      <c r="F128" s="1366"/>
      <c r="G128" s="1366"/>
      <c r="H128" s="1367"/>
      <c r="I128" s="423"/>
      <c r="J128" s="420"/>
      <c r="K128" s="420"/>
    </row>
    <row r="129" spans="1:11" ht="14.5" customHeight="1" x14ac:dyDescent="0.35">
      <c r="A129" s="1" t="s">
        <v>1509</v>
      </c>
      <c r="B129" s="2" t="str">
        <f t="shared" si="4"/>
        <v>NO</v>
      </c>
      <c r="C129" s="390" t="s">
        <v>142</v>
      </c>
      <c r="D129" s="390" t="s">
        <v>773</v>
      </c>
      <c r="E129" s="1365" t="s">
        <v>1169</v>
      </c>
      <c r="F129" s="1366"/>
      <c r="G129" s="1366"/>
      <c r="H129" s="1367"/>
      <c r="I129" s="423"/>
      <c r="J129" s="420"/>
      <c r="K129" s="420"/>
    </row>
    <row r="130" spans="1:11" ht="14.5" customHeight="1" x14ac:dyDescent="0.35">
      <c r="A130" s="1" t="s">
        <v>1509</v>
      </c>
      <c r="B130" s="2" t="str">
        <f t="shared" si="4"/>
        <v>NO</v>
      </c>
      <c r="C130" s="390" t="s">
        <v>1485</v>
      </c>
      <c r="D130" s="390" t="s">
        <v>773</v>
      </c>
      <c r="E130" s="1365" t="s">
        <v>1209</v>
      </c>
      <c r="F130" s="1366"/>
      <c r="G130" s="1366"/>
      <c r="H130" s="1367"/>
      <c r="I130" s="423"/>
      <c r="J130" s="420"/>
      <c r="K130" s="420"/>
    </row>
    <row r="131" spans="1:11" ht="14.5" customHeight="1" x14ac:dyDescent="0.35">
      <c r="A131" s="1" t="s">
        <v>1509</v>
      </c>
      <c r="B131" s="2" t="str">
        <f t="shared" si="4"/>
        <v>NO</v>
      </c>
      <c r="C131" s="390" t="s">
        <v>1486</v>
      </c>
      <c r="D131" s="390" t="s">
        <v>773</v>
      </c>
      <c r="E131" s="1365" t="s">
        <v>1210</v>
      </c>
      <c r="F131" s="1366"/>
      <c r="G131" s="1366"/>
      <c r="H131" s="1367"/>
      <c r="I131" s="423"/>
      <c r="J131" s="420"/>
      <c r="K131" s="420"/>
    </row>
    <row r="132" spans="1:11" ht="14.5" customHeight="1" x14ac:dyDescent="0.35">
      <c r="A132" s="1" t="s">
        <v>1509</v>
      </c>
      <c r="B132" s="2" t="str">
        <f t="shared" si="4"/>
        <v>NO</v>
      </c>
      <c r="C132" s="390" t="s">
        <v>1487</v>
      </c>
      <c r="D132" s="390" t="s">
        <v>773</v>
      </c>
      <c r="E132" s="1365" t="s">
        <v>144</v>
      </c>
      <c r="F132" s="1366"/>
      <c r="G132" s="1366"/>
      <c r="H132" s="1367"/>
      <c r="I132" s="423"/>
      <c r="J132" s="420"/>
      <c r="K132" s="420"/>
    </row>
    <row r="133" spans="1:11" ht="14.5" customHeight="1" x14ac:dyDescent="0.35">
      <c r="A133" s="1" t="s">
        <v>1509</v>
      </c>
      <c r="B133" s="2" t="str">
        <f t="shared" si="4"/>
        <v>NO</v>
      </c>
      <c r="C133" s="390" t="s">
        <v>1488</v>
      </c>
      <c r="D133" s="390" t="s">
        <v>773</v>
      </c>
      <c r="E133" s="1365" t="s">
        <v>145</v>
      </c>
      <c r="F133" s="1366"/>
      <c r="G133" s="1366"/>
      <c r="H133" s="1367"/>
      <c r="I133" s="423"/>
      <c r="J133" s="420"/>
      <c r="K133" s="420"/>
    </row>
    <row r="134" spans="1:11" ht="14.5" customHeight="1" x14ac:dyDescent="0.35">
      <c r="A134" s="1" t="s">
        <v>1509</v>
      </c>
      <c r="B134" s="2" t="str">
        <f t="shared" si="4"/>
        <v>NO</v>
      </c>
      <c r="C134" s="390" t="s">
        <v>1489</v>
      </c>
      <c r="D134" s="390" t="s">
        <v>773</v>
      </c>
      <c r="E134" s="1365" t="s">
        <v>146</v>
      </c>
      <c r="F134" s="1366"/>
      <c r="G134" s="1366"/>
      <c r="H134" s="1367"/>
      <c r="I134" s="423"/>
      <c r="J134" s="420"/>
      <c r="K134" s="420"/>
    </row>
    <row r="135" spans="1:11" ht="14.5" customHeight="1" x14ac:dyDescent="0.35">
      <c r="A135" s="1" t="s">
        <v>1509</v>
      </c>
      <c r="B135" s="2" t="str">
        <f t="shared" si="4"/>
        <v>NO</v>
      </c>
      <c r="C135" s="390" t="s">
        <v>1490</v>
      </c>
      <c r="D135" s="390" t="s">
        <v>773</v>
      </c>
      <c r="E135" s="1365" t="s">
        <v>1213</v>
      </c>
      <c r="F135" s="1366"/>
      <c r="G135" s="1366"/>
      <c r="H135" s="1367"/>
      <c r="I135" s="423"/>
      <c r="J135" s="420"/>
      <c r="K135" s="420"/>
    </row>
    <row r="136" spans="1:11" ht="14.5" customHeight="1" x14ac:dyDescent="0.35">
      <c r="A136" s="1" t="s">
        <v>1509</v>
      </c>
      <c r="B136" s="2" t="str">
        <f t="shared" si="4"/>
        <v>SI</v>
      </c>
      <c r="C136" s="390" t="s">
        <v>1491</v>
      </c>
      <c r="D136" s="390" t="s">
        <v>773</v>
      </c>
      <c r="E136" s="1365" t="s">
        <v>147</v>
      </c>
      <c r="F136" s="1366"/>
      <c r="G136" s="1366"/>
      <c r="H136" s="1367"/>
      <c r="I136" s="423">
        <v>54</v>
      </c>
      <c r="J136" s="420">
        <v>0</v>
      </c>
      <c r="K136" s="420">
        <v>0</v>
      </c>
    </row>
    <row r="137" spans="1:11" ht="14.5" customHeight="1" x14ac:dyDescent="0.35">
      <c r="A137" s="1" t="s">
        <v>1509</v>
      </c>
      <c r="B137" s="2" t="str">
        <f t="shared" si="4"/>
        <v>NO</v>
      </c>
      <c r="C137" s="390" t="s">
        <v>148</v>
      </c>
      <c r="D137" s="390" t="s">
        <v>773</v>
      </c>
      <c r="E137" s="1365" t="s">
        <v>149</v>
      </c>
      <c r="F137" s="1366"/>
      <c r="G137" s="1366"/>
      <c r="H137" s="1367"/>
      <c r="I137" s="423"/>
      <c r="J137" s="420"/>
      <c r="K137" s="420"/>
    </row>
    <row r="138" spans="1:11" ht="14.5" customHeight="1" x14ac:dyDescent="0.35">
      <c r="A138" s="1" t="s">
        <v>1509</v>
      </c>
      <c r="B138" s="2" t="str">
        <f t="shared" si="4"/>
        <v>NO</v>
      </c>
      <c r="C138" s="390" t="s">
        <v>150</v>
      </c>
      <c r="D138" s="390" t="s">
        <v>773</v>
      </c>
      <c r="E138" s="1365" t="s">
        <v>151</v>
      </c>
      <c r="F138" s="1366"/>
      <c r="G138" s="1366"/>
      <c r="H138" s="1367"/>
      <c r="I138" s="423"/>
      <c r="J138" s="420"/>
      <c r="K138" s="420"/>
    </row>
    <row r="139" spans="1:11" ht="14.5" customHeight="1" x14ac:dyDescent="0.35">
      <c r="A139" s="1" t="s">
        <v>1509</v>
      </c>
      <c r="B139" s="2" t="str">
        <f t="shared" si="4"/>
        <v>NO</v>
      </c>
      <c r="C139" s="390" t="s">
        <v>152</v>
      </c>
      <c r="D139" s="390" t="s">
        <v>773</v>
      </c>
      <c r="E139" s="1365" t="s">
        <v>153</v>
      </c>
      <c r="F139" s="1366"/>
      <c r="G139" s="1366"/>
      <c r="H139" s="1367"/>
      <c r="I139" s="423"/>
      <c r="J139" s="420"/>
      <c r="K139" s="420"/>
    </row>
    <row r="140" spans="1:11" ht="14.5" customHeight="1" x14ac:dyDescent="0.35">
      <c r="A140" s="1" t="s">
        <v>1509</v>
      </c>
      <c r="B140" s="2" t="str">
        <f t="shared" si="4"/>
        <v>NO</v>
      </c>
      <c r="C140" s="390" t="s">
        <v>154</v>
      </c>
      <c r="D140" s="390" t="s">
        <v>773</v>
      </c>
      <c r="E140" s="1365" t="s">
        <v>155</v>
      </c>
      <c r="F140" s="1366"/>
      <c r="G140" s="1366"/>
      <c r="H140" s="1367"/>
      <c r="I140" s="423"/>
      <c r="J140" s="420"/>
      <c r="K140" s="420"/>
    </row>
    <row r="141" spans="1:11" ht="14.5" customHeight="1" x14ac:dyDescent="0.35">
      <c r="A141" s="1" t="s">
        <v>1509</v>
      </c>
      <c r="B141" s="2" t="str">
        <f t="shared" si="4"/>
        <v>NO</v>
      </c>
      <c r="C141" s="390" t="s">
        <v>156</v>
      </c>
      <c r="D141" s="390" t="s">
        <v>773</v>
      </c>
      <c r="E141" s="1365" t="s">
        <v>157</v>
      </c>
      <c r="F141" s="1366"/>
      <c r="G141" s="1366"/>
      <c r="H141" s="1367"/>
      <c r="I141" s="423"/>
      <c r="J141" s="420"/>
      <c r="K141" s="420"/>
    </row>
    <row r="142" spans="1:11" ht="14.5" customHeight="1" x14ac:dyDescent="0.35">
      <c r="A142" s="1" t="s">
        <v>1509</v>
      </c>
      <c r="B142" s="2" t="str">
        <f t="shared" si="4"/>
        <v>NO</v>
      </c>
      <c r="C142" s="390" t="s">
        <v>158</v>
      </c>
      <c r="D142" s="390" t="s">
        <v>773</v>
      </c>
      <c r="E142" s="1365" t="s">
        <v>159</v>
      </c>
      <c r="F142" s="1366"/>
      <c r="G142" s="1366"/>
      <c r="H142" s="1367"/>
      <c r="I142" s="423"/>
      <c r="J142" s="420"/>
      <c r="K142" s="420"/>
    </row>
    <row r="143" spans="1:11" ht="14.5" customHeight="1" x14ac:dyDescent="0.35">
      <c r="A143" s="1" t="s">
        <v>1509</v>
      </c>
      <c r="B143" s="2" t="str">
        <f t="shared" si="4"/>
        <v>NO</v>
      </c>
      <c r="C143" s="390" t="s">
        <v>160</v>
      </c>
      <c r="D143" s="390" t="s">
        <v>773</v>
      </c>
      <c r="E143" s="1365" t="s">
        <v>161</v>
      </c>
      <c r="F143" s="1366"/>
      <c r="G143" s="1366"/>
      <c r="H143" s="1367"/>
      <c r="I143" s="423"/>
      <c r="J143" s="420"/>
      <c r="K143" s="420"/>
    </row>
    <row r="144" spans="1:11" ht="14.5" customHeight="1" x14ac:dyDescent="0.35">
      <c r="A144" s="1" t="s">
        <v>1509</v>
      </c>
      <c r="B144" s="2" t="str">
        <f t="shared" si="4"/>
        <v>NO</v>
      </c>
      <c r="C144" s="390" t="s">
        <v>162</v>
      </c>
      <c r="D144" s="390" t="s">
        <v>773</v>
      </c>
      <c r="E144" s="1365" t="s">
        <v>163</v>
      </c>
      <c r="F144" s="1366"/>
      <c r="G144" s="1366"/>
      <c r="H144" s="1367"/>
      <c r="I144" s="423"/>
      <c r="J144" s="420"/>
      <c r="K144" s="420"/>
    </row>
    <row r="145" spans="1:11" ht="14.5" customHeight="1" x14ac:dyDescent="0.35">
      <c r="A145" s="1" t="s">
        <v>1509</v>
      </c>
      <c r="B145" s="2" t="str">
        <f t="shared" si="4"/>
        <v>NO</v>
      </c>
      <c r="C145" s="390" t="s">
        <v>1492</v>
      </c>
      <c r="D145" s="390" t="s">
        <v>773</v>
      </c>
      <c r="E145" s="1365" t="s">
        <v>1145</v>
      </c>
      <c r="F145" s="1366"/>
      <c r="G145" s="1366"/>
      <c r="H145" s="1367"/>
      <c r="I145" s="423"/>
      <c r="J145" s="420"/>
      <c r="K145" s="420"/>
    </row>
    <row r="146" spans="1:11" ht="14.5" customHeight="1" x14ac:dyDescent="0.35">
      <c r="A146" s="1" t="s">
        <v>1509</v>
      </c>
      <c r="B146" s="2" t="str">
        <f t="shared" si="4"/>
        <v>NO</v>
      </c>
      <c r="C146" s="390" t="s">
        <v>1493</v>
      </c>
      <c r="D146" s="390" t="s">
        <v>773</v>
      </c>
      <c r="E146" s="1365" t="s">
        <v>1146</v>
      </c>
      <c r="F146" s="1366"/>
      <c r="G146" s="1366"/>
      <c r="H146" s="1367"/>
      <c r="I146" s="423"/>
      <c r="J146" s="420"/>
      <c r="K146" s="420"/>
    </row>
    <row r="147" spans="1:11" ht="14.5" customHeight="1" x14ac:dyDescent="0.35">
      <c r="A147" s="1" t="s">
        <v>1509</v>
      </c>
      <c r="B147" s="2" t="str">
        <f t="shared" si="4"/>
        <v>NO</v>
      </c>
      <c r="C147" s="390" t="s">
        <v>1494</v>
      </c>
      <c r="D147" s="390" t="s">
        <v>773</v>
      </c>
      <c r="E147" s="1365" t="s">
        <v>1147</v>
      </c>
      <c r="F147" s="1366"/>
      <c r="G147" s="1366"/>
      <c r="H147" s="1367"/>
      <c r="I147" s="423"/>
      <c r="J147" s="420"/>
      <c r="K147" s="420"/>
    </row>
    <row r="148" spans="1:11" ht="14.5" customHeight="1" x14ac:dyDescent="0.35">
      <c r="A148" s="1" t="s">
        <v>1509</v>
      </c>
      <c r="B148" s="2" t="str">
        <f t="shared" si="4"/>
        <v>NO</v>
      </c>
      <c r="C148" s="390" t="s">
        <v>1495</v>
      </c>
      <c r="D148" s="390" t="s">
        <v>773</v>
      </c>
      <c r="E148" s="1365" t="s">
        <v>1148</v>
      </c>
      <c r="F148" s="1366"/>
      <c r="G148" s="1366"/>
      <c r="H148" s="1367"/>
      <c r="I148" s="423"/>
      <c r="J148" s="420"/>
      <c r="K148" s="420"/>
    </row>
    <row r="149" spans="1:11" ht="14.5" customHeight="1" x14ac:dyDescent="0.35">
      <c r="A149" s="1" t="s">
        <v>1509</v>
      </c>
      <c r="B149" s="2" t="str">
        <f t="shared" si="4"/>
        <v>NO</v>
      </c>
      <c r="C149" s="390" t="s">
        <v>1496</v>
      </c>
      <c r="D149" s="390" t="s">
        <v>773</v>
      </c>
      <c r="E149" s="1365" t="s">
        <v>1149</v>
      </c>
      <c r="F149" s="1366"/>
      <c r="G149" s="1366"/>
      <c r="H149" s="1367"/>
      <c r="I149" s="423"/>
      <c r="J149" s="420"/>
      <c r="K149" s="420"/>
    </row>
    <row r="150" spans="1:11" ht="14.5" customHeight="1" x14ac:dyDescent="0.35">
      <c r="A150" s="1" t="s">
        <v>1509</v>
      </c>
      <c r="B150" s="2" t="str">
        <f t="shared" ref="B150:B216" si="5">IF(SUM(I150:K150)&gt;0,"SI","NO")</f>
        <v>NO</v>
      </c>
      <c r="C150" s="390" t="s">
        <v>1497</v>
      </c>
      <c r="D150" s="390" t="s">
        <v>773</v>
      </c>
      <c r="E150" s="1365" t="s">
        <v>1167</v>
      </c>
      <c r="F150" s="1366"/>
      <c r="G150" s="1366"/>
      <c r="H150" s="1367"/>
      <c r="I150" s="423"/>
      <c r="J150" s="420"/>
      <c r="K150" s="420"/>
    </row>
    <row r="151" spans="1:11" ht="14.5" customHeight="1" x14ac:dyDescent="0.35">
      <c r="A151" s="1" t="s">
        <v>1509</v>
      </c>
      <c r="B151" s="2" t="str">
        <f t="shared" si="5"/>
        <v>NO</v>
      </c>
      <c r="C151" s="390" t="s">
        <v>1498</v>
      </c>
      <c r="D151" s="390" t="s">
        <v>773</v>
      </c>
      <c r="E151" s="1365" t="s">
        <v>164</v>
      </c>
      <c r="F151" s="1366"/>
      <c r="G151" s="1366"/>
      <c r="H151" s="1367"/>
      <c r="I151" s="423"/>
      <c r="J151" s="420"/>
      <c r="K151" s="420"/>
    </row>
    <row r="152" spans="1:11" ht="14.5" customHeight="1" x14ac:dyDescent="0.35">
      <c r="A152" s="1" t="s">
        <v>1509</v>
      </c>
      <c r="B152" s="2" t="str">
        <f t="shared" si="5"/>
        <v>NO</v>
      </c>
      <c r="C152" s="390" t="s">
        <v>1499</v>
      </c>
      <c r="D152" s="390" t="s">
        <v>773</v>
      </c>
      <c r="E152" s="1365" t="s">
        <v>165</v>
      </c>
      <c r="F152" s="1366"/>
      <c r="G152" s="1366"/>
      <c r="H152" s="1367"/>
      <c r="I152" s="423"/>
      <c r="J152" s="420"/>
      <c r="K152" s="420"/>
    </row>
    <row r="153" spans="1:11" ht="14.5" customHeight="1" x14ac:dyDescent="0.35">
      <c r="A153" s="1" t="s">
        <v>1509</v>
      </c>
      <c r="B153" s="2" t="str">
        <f t="shared" si="5"/>
        <v>NO</v>
      </c>
      <c r="C153" s="390" t="s">
        <v>1500</v>
      </c>
      <c r="D153" s="390" t="s">
        <v>773</v>
      </c>
      <c r="E153" s="1365" t="s">
        <v>166</v>
      </c>
      <c r="F153" s="1366"/>
      <c r="G153" s="1366"/>
      <c r="H153" s="1367"/>
      <c r="I153" s="423"/>
      <c r="J153" s="420"/>
      <c r="K153" s="420"/>
    </row>
    <row r="154" spans="1:11" ht="14.5" customHeight="1" x14ac:dyDescent="0.35">
      <c r="A154" s="1" t="s">
        <v>1509</v>
      </c>
      <c r="B154" s="2" t="str">
        <f t="shared" si="5"/>
        <v>NO</v>
      </c>
      <c r="C154" s="390" t="s">
        <v>1501</v>
      </c>
      <c r="D154" s="390" t="s">
        <v>773</v>
      </c>
      <c r="E154" s="1365" t="s">
        <v>167</v>
      </c>
      <c r="F154" s="1366"/>
      <c r="G154" s="1366"/>
      <c r="H154" s="1367"/>
      <c r="I154" s="423"/>
      <c r="J154" s="420"/>
      <c r="K154" s="420"/>
    </row>
    <row r="155" spans="1:11" ht="14.5" customHeight="1" x14ac:dyDescent="0.35">
      <c r="A155" s="1" t="s">
        <v>1509</v>
      </c>
      <c r="B155" s="2" t="str">
        <f t="shared" si="5"/>
        <v>NO</v>
      </c>
      <c r="C155" s="390" t="s">
        <v>1502</v>
      </c>
      <c r="D155" s="390" t="s">
        <v>773</v>
      </c>
      <c r="E155" s="1365" t="s">
        <v>1054</v>
      </c>
      <c r="F155" s="1366"/>
      <c r="G155" s="1366"/>
      <c r="H155" s="1367"/>
      <c r="I155" s="423"/>
      <c r="J155" s="420"/>
      <c r="K155" s="420"/>
    </row>
    <row r="156" spans="1:11" ht="14.5" customHeight="1" x14ac:dyDescent="0.35">
      <c r="A156" s="1" t="s">
        <v>1509</v>
      </c>
      <c r="B156" s="2" t="str">
        <f t="shared" si="5"/>
        <v>NO</v>
      </c>
      <c r="C156" s="390" t="s">
        <v>168</v>
      </c>
      <c r="D156" s="390" t="s">
        <v>773</v>
      </c>
      <c r="E156" s="1365" t="s">
        <v>1150</v>
      </c>
      <c r="F156" s="1366"/>
      <c r="G156" s="1366"/>
      <c r="H156" s="1367"/>
      <c r="I156" s="423"/>
      <c r="J156" s="420"/>
      <c r="K156" s="420"/>
    </row>
    <row r="157" spans="1:11" ht="14.5" customHeight="1" x14ac:dyDescent="0.35">
      <c r="A157" s="1" t="s">
        <v>1509</v>
      </c>
      <c r="B157" s="2" t="str">
        <f t="shared" si="5"/>
        <v>NO</v>
      </c>
      <c r="C157" s="390" t="s">
        <v>170</v>
      </c>
      <c r="D157" s="390" t="s">
        <v>773</v>
      </c>
      <c r="E157" s="1365" t="s">
        <v>1151</v>
      </c>
      <c r="F157" s="1366"/>
      <c r="G157" s="1366"/>
      <c r="H157" s="1367"/>
      <c r="I157" s="423"/>
      <c r="J157" s="420"/>
      <c r="K157" s="420"/>
    </row>
    <row r="158" spans="1:11" ht="14.5" customHeight="1" x14ac:dyDescent="0.35">
      <c r="A158" s="1" t="s">
        <v>1509</v>
      </c>
      <c r="B158" s="2" t="str">
        <f t="shared" si="5"/>
        <v>NO</v>
      </c>
      <c r="C158" s="390" t="s">
        <v>1055</v>
      </c>
      <c r="D158" s="390" t="s">
        <v>773</v>
      </c>
      <c r="E158" s="1365" t="s">
        <v>1056</v>
      </c>
      <c r="F158" s="1366"/>
      <c r="G158" s="1366"/>
      <c r="H158" s="1367"/>
      <c r="I158" s="423"/>
      <c r="J158" s="420"/>
      <c r="K158" s="420"/>
    </row>
    <row r="159" spans="1:11" ht="14.5" customHeight="1" x14ac:dyDescent="0.35">
      <c r="A159" s="1" t="s">
        <v>1509</v>
      </c>
      <c r="B159" s="2" t="str">
        <f t="shared" si="5"/>
        <v>NO</v>
      </c>
      <c r="C159" s="390" t="s">
        <v>1452</v>
      </c>
      <c r="D159" s="390" t="s">
        <v>773</v>
      </c>
      <c r="E159" s="1365" t="s">
        <v>172</v>
      </c>
      <c r="F159" s="1366"/>
      <c r="G159" s="1366"/>
      <c r="H159" s="1367"/>
      <c r="I159" s="423"/>
      <c r="J159" s="420"/>
      <c r="K159" s="420"/>
    </row>
    <row r="160" spans="1:11" ht="14.5" customHeight="1" x14ac:dyDescent="0.35">
      <c r="A160" s="1" t="s">
        <v>1509</v>
      </c>
      <c r="B160" s="2" t="str">
        <f t="shared" si="5"/>
        <v>NO</v>
      </c>
      <c r="C160" s="390" t="s">
        <v>173</v>
      </c>
      <c r="D160" s="390" t="s">
        <v>773</v>
      </c>
      <c r="E160" s="1365" t="s">
        <v>1152</v>
      </c>
      <c r="F160" s="1366"/>
      <c r="G160" s="1366"/>
      <c r="H160" s="1367"/>
      <c r="I160" s="423"/>
      <c r="J160" s="420"/>
      <c r="K160" s="420"/>
    </row>
    <row r="161" spans="1:11" ht="14.5" customHeight="1" x14ac:dyDescent="0.35">
      <c r="A161" s="1" t="s">
        <v>1509</v>
      </c>
      <c r="B161" s="2" t="str">
        <f t="shared" si="5"/>
        <v>NO</v>
      </c>
      <c r="C161" s="390" t="s">
        <v>1057</v>
      </c>
      <c r="D161" s="390" t="s">
        <v>773</v>
      </c>
      <c r="E161" s="1365" t="s">
        <v>1058</v>
      </c>
      <c r="F161" s="1366"/>
      <c r="G161" s="1366"/>
      <c r="H161" s="1367"/>
      <c r="I161" s="423"/>
      <c r="J161" s="420"/>
      <c r="K161" s="420"/>
    </row>
    <row r="162" spans="1:11" ht="14.5" customHeight="1" x14ac:dyDescent="0.35">
      <c r="A162" s="1" t="s">
        <v>1509</v>
      </c>
      <c r="B162" s="2" t="str">
        <f t="shared" si="5"/>
        <v>NO</v>
      </c>
      <c r="C162" s="390" t="s">
        <v>1503</v>
      </c>
      <c r="D162" s="390" t="s">
        <v>773</v>
      </c>
      <c r="E162" s="1365" t="s">
        <v>1211</v>
      </c>
      <c r="F162" s="1366"/>
      <c r="G162" s="1366"/>
      <c r="H162" s="1367"/>
      <c r="I162" s="423"/>
      <c r="J162" s="420"/>
      <c r="K162" s="420"/>
    </row>
    <row r="163" spans="1:11" ht="14.5" customHeight="1" x14ac:dyDescent="0.35">
      <c r="A163" s="1" t="s">
        <v>1509</v>
      </c>
      <c r="B163" s="2" t="str">
        <f t="shared" si="5"/>
        <v>NO</v>
      </c>
      <c r="C163" s="390" t="s">
        <v>1504</v>
      </c>
      <c r="D163" s="390" t="s">
        <v>773</v>
      </c>
      <c r="E163" s="1365" t="s">
        <v>1059</v>
      </c>
      <c r="F163" s="1366"/>
      <c r="G163" s="1366"/>
      <c r="H163" s="1367"/>
      <c r="I163" s="423"/>
      <c r="J163" s="420"/>
      <c r="K163" s="420"/>
    </row>
    <row r="164" spans="1:11" ht="14.5" customHeight="1" x14ac:dyDescent="0.35">
      <c r="A164" s="1" t="s">
        <v>1509</v>
      </c>
      <c r="B164" s="2" t="str">
        <f t="shared" si="5"/>
        <v>NO</v>
      </c>
      <c r="C164" s="390" t="s">
        <v>1505</v>
      </c>
      <c r="D164" s="390" t="s">
        <v>773</v>
      </c>
      <c r="E164" s="1365" t="s">
        <v>1335</v>
      </c>
      <c r="F164" s="1366"/>
      <c r="G164" s="1366"/>
      <c r="H164" s="1367"/>
      <c r="I164" s="423"/>
      <c r="J164" s="420"/>
      <c r="K164" s="420"/>
    </row>
    <row r="165" spans="1:11" ht="14.5" customHeight="1" x14ac:dyDescent="0.35">
      <c r="A165" s="1" t="s">
        <v>1509</v>
      </c>
      <c r="B165" s="2" t="str">
        <f t="shared" si="5"/>
        <v>NO</v>
      </c>
      <c r="C165" s="390" t="s">
        <v>175</v>
      </c>
      <c r="D165" s="390" t="s">
        <v>773</v>
      </c>
      <c r="E165" s="1365" t="s">
        <v>1080</v>
      </c>
      <c r="F165" s="1366"/>
      <c r="G165" s="1366"/>
      <c r="H165" s="1367"/>
      <c r="I165" s="423"/>
      <c r="J165" s="420"/>
      <c r="K165" s="420"/>
    </row>
    <row r="166" spans="1:11" ht="14.5" customHeight="1" x14ac:dyDescent="0.35">
      <c r="A166" s="1" t="s">
        <v>1509</v>
      </c>
      <c r="B166" s="2" t="str">
        <f t="shared" si="5"/>
        <v>NO</v>
      </c>
      <c r="C166" s="390" t="s">
        <v>1061</v>
      </c>
      <c r="D166" s="390" t="s">
        <v>773</v>
      </c>
      <c r="E166" s="1365" t="s">
        <v>1062</v>
      </c>
      <c r="F166" s="1366"/>
      <c r="G166" s="1366"/>
      <c r="H166" s="1367"/>
      <c r="I166" s="423"/>
      <c r="J166" s="420"/>
      <c r="K166" s="420"/>
    </row>
    <row r="167" spans="1:11" ht="14.5" customHeight="1" x14ac:dyDescent="0.35">
      <c r="A167" s="1" t="s">
        <v>1509</v>
      </c>
      <c r="B167" s="2" t="str">
        <f t="shared" si="5"/>
        <v>NO</v>
      </c>
      <c r="C167" s="390" t="s">
        <v>1063</v>
      </c>
      <c r="D167" s="390" t="s">
        <v>773</v>
      </c>
      <c r="E167" s="1365" t="s">
        <v>1204</v>
      </c>
      <c r="F167" s="1366"/>
      <c r="G167" s="1366"/>
      <c r="H167" s="1367"/>
      <c r="I167" s="423"/>
      <c r="J167" s="420"/>
      <c r="K167" s="420"/>
    </row>
    <row r="168" spans="1:11" ht="14.5" customHeight="1" x14ac:dyDescent="0.35">
      <c r="A168" s="1" t="s">
        <v>1509</v>
      </c>
      <c r="B168" s="2" t="str">
        <f t="shared" si="5"/>
        <v>NO</v>
      </c>
      <c r="C168" s="390" t="s">
        <v>1065</v>
      </c>
      <c r="D168" s="390" t="s">
        <v>773</v>
      </c>
      <c r="E168" s="1365" t="s">
        <v>1205</v>
      </c>
      <c r="F168" s="1366"/>
      <c r="G168" s="1366"/>
      <c r="H168" s="1367"/>
      <c r="I168" s="423"/>
      <c r="J168" s="420"/>
      <c r="K168" s="420"/>
    </row>
    <row r="169" spans="1:11" ht="14.5" customHeight="1" x14ac:dyDescent="0.35">
      <c r="A169" s="1" t="s">
        <v>1509</v>
      </c>
      <c r="B169" s="2" t="str">
        <f t="shared" si="5"/>
        <v>NO</v>
      </c>
      <c r="C169" s="390" t="s">
        <v>1506</v>
      </c>
      <c r="D169" s="390" t="s">
        <v>773</v>
      </c>
      <c r="E169" s="1365" t="s">
        <v>1165</v>
      </c>
      <c r="F169" s="1366"/>
      <c r="G169" s="1366"/>
      <c r="H169" s="1367"/>
      <c r="I169" s="423"/>
      <c r="J169" s="420"/>
      <c r="K169" s="420"/>
    </row>
    <row r="170" spans="1:11" ht="14.5" customHeight="1" x14ac:dyDescent="0.35">
      <c r="A170" s="1" t="s">
        <v>1509</v>
      </c>
      <c r="B170" s="2" t="str">
        <f t="shared" si="5"/>
        <v>NO</v>
      </c>
      <c r="C170" s="390" t="s">
        <v>1507</v>
      </c>
      <c r="D170" s="390" t="s">
        <v>773</v>
      </c>
      <c r="E170" s="1365" t="s">
        <v>1171</v>
      </c>
      <c r="F170" s="1366"/>
      <c r="G170" s="1366"/>
      <c r="H170" s="1367"/>
      <c r="I170" s="423"/>
      <c r="J170" s="420"/>
      <c r="K170" s="420"/>
    </row>
    <row r="171" spans="1:11" ht="14.5" customHeight="1" x14ac:dyDescent="0.35">
      <c r="A171" s="1" t="s">
        <v>1509</v>
      </c>
      <c r="B171" s="2" t="str">
        <f t="shared" si="5"/>
        <v>NO</v>
      </c>
      <c r="C171" s="390" t="s">
        <v>1508</v>
      </c>
      <c r="D171" s="390" t="s">
        <v>773</v>
      </c>
      <c r="E171" s="1365" t="s">
        <v>1334</v>
      </c>
      <c r="F171" s="1366"/>
      <c r="G171" s="1366"/>
      <c r="H171" s="1367"/>
      <c r="I171" s="423"/>
      <c r="J171" s="420"/>
      <c r="K171" s="420"/>
    </row>
    <row r="172" spans="1:11" ht="14.5" customHeight="1" x14ac:dyDescent="0.35">
      <c r="A172" s="1" t="s">
        <v>1509</v>
      </c>
      <c r="B172" s="2" t="str">
        <f t="shared" ref="B172:B174" si="6">IF(SUM(I172:K172)&gt;0,"SI","NO")</f>
        <v>NO</v>
      </c>
      <c r="C172" s="390" t="s">
        <v>2427</v>
      </c>
      <c r="D172" s="390" t="s">
        <v>773</v>
      </c>
      <c r="E172" s="1365" t="s">
        <v>2424</v>
      </c>
      <c r="F172" s="1366"/>
      <c r="G172" s="1366"/>
      <c r="H172" s="1367"/>
      <c r="I172" s="423"/>
      <c r="J172" s="420"/>
      <c r="K172" s="420"/>
    </row>
    <row r="173" spans="1:11" ht="14.5" customHeight="1" x14ac:dyDescent="0.35">
      <c r="A173" s="1" t="s">
        <v>1509</v>
      </c>
      <c r="B173" s="2" t="str">
        <f t="shared" si="6"/>
        <v>NO</v>
      </c>
      <c r="C173" s="390" t="s">
        <v>2428</v>
      </c>
      <c r="D173" s="390" t="s">
        <v>773</v>
      </c>
      <c r="E173" s="1365" t="s">
        <v>2425</v>
      </c>
      <c r="F173" s="1366"/>
      <c r="G173" s="1366"/>
      <c r="H173" s="1367"/>
      <c r="I173" s="423"/>
      <c r="J173" s="420"/>
      <c r="K173" s="420"/>
    </row>
    <row r="174" spans="1:11" ht="14.5" customHeight="1" x14ac:dyDescent="0.35">
      <c r="A174" s="1" t="s">
        <v>1509</v>
      </c>
      <c r="B174" s="2" t="str">
        <f t="shared" si="6"/>
        <v>NO</v>
      </c>
      <c r="C174" s="390" t="s">
        <v>2429</v>
      </c>
      <c r="D174" s="390" t="s">
        <v>773</v>
      </c>
      <c r="E174" s="1365" t="s">
        <v>2426</v>
      </c>
      <c r="F174" s="1366"/>
      <c r="G174" s="1366"/>
      <c r="H174" s="1367"/>
      <c r="I174" s="423"/>
      <c r="J174" s="420"/>
      <c r="K174" s="420"/>
    </row>
    <row r="175" spans="1:11" ht="14.5" customHeight="1" x14ac:dyDescent="0.35">
      <c r="A175" s="1" t="s">
        <v>1509</v>
      </c>
      <c r="B175" s="2" t="str">
        <f t="shared" si="5"/>
        <v>NO</v>
      </c>
      <c r="C175" s="390" t="s">
        <v>873</v>
      </c>
      <c r="D175" s="390" t="s">
        <v>773</v>
      </c>
      <c r="E175" s="1365" t="s">
        <v>1172</v>
      </c>
      <c r="F175" s="1366"/>
      <c r="G175" s="1366"/>
      <c r="H175" s="1367"/>
      <c r="I175" s="423"/>
      <c r="J175" s="420"/>
      <c r="K175" s="420"/>
    </row>
    <row r="176" spans="1:11" ht="14.5" customHeight="1" x14ac:dyDescent="0.35">
      <c r="A176" s="1" t="s">
        <v>1509</v>
      </c>
      <c r="B176" s="2" t="str">
        <f t="shared" si="5"/>
        <v>NO</v>
      </c>
      <c r="C176" s="390" t="s">
        <v>870</v>
      </c>
      <c r="D176" s="390" t="s">
        <v>773</v>
      </c>
      <c r="E176" s="1365" t="s">
        <v>1173</v>
      </c>
      <c r="F176" s="1366"/>
      <c r="G176" s="1366"/>
      <c r="H176" s="1367"/>
      <c r="I176" s="423"/>
      <c r="J176" s="420"/>
      <c r="K176" s="420"/>
    </row>
    <row r="177" spans="1:11" ht="14.5" customHeight="1" x14ac:dyDescent="0.35">
      <c r="A177" s="1" t="s">
        <v>1509</v>
      </c>
      <c r="B177" s="2" t="str">
        <f t="shared" si="5"/>
        <v>NO</v>
      </c>
      <c r="C177" s="390" t="s">
        <v>1067</v>
      </c>
      <c r="D177" s="390" t="s">
        <v>773</v>
      </c>
      <c r="E177" s="1365" t="s">
        <v>1174</v>
      </c>
      <c r="F177" s="1366"/>
      <c r="G177" s="1366"/>
      <c r="H177" s="1367"/>
      <c r="I177" s="423"/>
      <c r="J177" s="420"/>
      <c r="K177" s="420"/>
    </row>
    <row r="178" spans="1:11" ht="14.5" customHeight="1" x14ac:dyDescent="0.35">
      <c r="A178" s="1" t="s">
        <v>1509</v>
      </c>
      <c r="B178" s="2" t="str">
        <f t="shared" si="5"/>
        <v>NO</v>
      </c>
      <c r="C178" s="390" t="s">
        <v>864</v>
      </c>
      <c r="D178" s="390" t="s">
        <v>773</v>
      </c>
      <c r="E178" s="1365" t="s">
        <v>1175</v>
      </c>
      <c r="F178" s="1366"/>
      <c r="G178" s="1366"/>
      <c r="H178" s="1367"/>
      <c r="I178" s="423"/>
      <c r="J178" s="420"/>
      <c r="K178" s="420"/>
    </row>
    <row r="179" spans="1:11" ht="14.5" customHeight="1" x14ac:dyDescent="0.35">
      <c r="A179" s="1" t="s">
        <v>1509</v>
      </c>
      <c r="B179" s="2" t="str">
        <f t="shared" si="5"/>
        <v>NO</v>
      </c>
      <c r="C179" s="390" t="s">
        <v>861</v>
      </c>
      <c r="D179" s="390" t="s">
        <v>773</v>
      </c>
      <c r="E179" s="1365" t="s">
        <v>1153</v>
      </c>
      <c r="F179" s="1366"/>
      <c r="G179" s="1366"/>
      <c r="H179" s="1367"/>
      <c r="I179" s="423"/>
      <c r="J179" s="420"/>
      <c r="K179" s="420"/>
    </row>
    <row r="180" spans="1:11" ht="14.5" customHeight="1" x14ac:dyDescent="0.35">
      <c r="A180" s="1" t="s">
        <v>1509</v>
      </c>
      <c r="B180" s="2" t="str">
        <f t="shared" si="5"/>
        <v>NO</v>
      </c>
      <c r="C180" s="390" t="s">
        <v>180</v>
      </c>
      <c r="D180" s="390" t="s">
        <v>773</v>
      </c>
      <c r="E180" s="1365" t="s">
        <v>1154</v>
      </c>
      <c r="F180" s="1366"/>
      <c r="G180" s="1366"/>
      <c r="H180" s="1367"/>
      <c r="I180" s="423"/>
      <c r="J180" s="420"/>
      <c r="K180" s="420"/>
    </row>
    <row r="181" spans="1:11" ht="14.5" customHeight="1" x14ac:dyDescent="0.35">
      <c r="A181" s="1" t="s">
        <v>1509</v>
      </c>
      <c r="B181" s="2" t="str">
        <f t="shared" si="5"/>
        <v>NO</v>
      </c>
      <c r="C181" s="390" t="s">
        <v>182</v>
      </c>
      <c r="D181" s="390" t="s">
        <v>773</v>
      </c>
      <c r="E181" s="1365" t="s">
        <v>1155</v>
      </c>
      <c r="F181" s="1366"/>
      <c r="G181" s="1366"/>
      <c r="H181" s="1367"/>
      <c r="I181" s="423"/>
      <c r="J181" s="420"/>
      <c r="K181" s="420"/>
    </row>
    <row r="182" spans="1:11" ht="14.5" customHeight="1" x14ac:dyDescent="0.35">
      <c r="A182" s="1" t="s">
        <v>1509</v>
      </c>
      <c r="B182" s="2" t="str">
        <f t="shared" si="5"/>
        <v>NO</v>
      </c>
      <c r="C182" s="390" t="s">
        <v>183</v>
      </c>
      <c r="D182" s="390" t="s">
        <v>773</v>
      </c>
      <c r="E182" s="1365" t="s">
        <v>1156</v>
      </c>
      <c r="F182" s="1366"/>
      <c r="G182" s="1366"/>
      <c r="H182" s="1367"/>
      <c r="I182" s="423"/>
      <c r="J182" s="420"/>
      <c r="K182" s="420"/>
    </row>
    <row r="183" spans="1:11" ht="14.5" customHeight="1" x14ac:dyDescent="0.35">
      <c r="A183" s="1" t="s">
        <v>1509</v>
      </c>
      <c r="B183" s="2" t="str">
        <f t="shared" si="5"/>
        <v>NO</v>
      </c>
      <c r="C183" s="390" t="s">
        <v>184</v>
      </c>
      <c r="D183" s="390" t="s">
        <v>773</v>
      </c>
      <c r="E183" s="1365" t="s">
        <v>1157</v>
      </c>
      <c r="F183" s="1366"/>
      <c r="G183" s="1366"/>
      <c r="H183" s="1367"/>
      <c r="I183" s="423"/>
      <c r="J183" s="420"/>
      <c r="K183" s="420"/>
    </row>
    <row r="184" spans="1:11" ht="14.5" customHeight="1" x14ac:dyDescent="0.35">
      <c r="A184" s="1" t="s">
        <v>1509</v>
      </c>
      <c r="B184" s="2" t="str">
        <f t="shared" si="5"/>
        <v>NO</v>
      </c>
      <c r="C184" s="390" t="s">
        <v>185</v>
      </c>
      <c r="D184" s="390" t="s">
        <v>773</v>
      </c>
      <c r="E184" s="1365" t="s">
        <v>1176</v>
      </c>
      <c r="F184" s="1366"/>
      <c r="G184" s="1366"/>
      <c r="H184" s="1367"/>
      <c r="I184" s="423"/>
      <c r="J184" s="420"/>
      <c r="K184" s="420"/>
    </row>
    <row r="185" spans="1:11" ht="14.5" customHeight="1" x14ac:dyDescent="0.35">
      <c r="A185" s="1" t="s">
        <v>1509</v>
      </c>
      <c r="B185" s="2" t="str">
        <f t="shared" si="5"/>
        <v>NO</v>
      </c>
      <c r="C185" s="390" t="s">
        <v>186</v>
      </c>
      <c r="D185" s="390" t="s">
        <v>773</v>
      </c>
      <c r="E185" s="1365" t="s">
        <v>1177</v>
      </c>
      <c r="F185" s="1366"/>
      <c r="G185" s="1366"/>
      <c r="H185" s="1367"/>
      <c r="I185" s="423"/>
      <c r="J185" s="420"/>
      <c r="K185" s="420"/>
    </row>
    <row r="186" spans="1:11" ht="14.5" customHeight="1" x14ac:dyDescent="0.35">
      <c r="A186" s="1" t="s">
        <v>1509</v>
      </c>
      <c r="B186" s="2" t="str">
        <f t="shared" si="5"/>
        <v>NO</v>
      </c>
      <c r="C186" s="390" t="s">
        <v>187</v>
      </c>
      <c r="D186" s="390" t="s">
        <v>773</v>
      </c>
      <c r="E186" s="1365" t="s">
        <v>1178</v>
      </c>
      <c r="F186" s="1366"/>
      <c r="G186" s="1366"/>
      <c r="H186" s="1367"/>
      <c r="I186" s="423"/>
      <c r="J186" s="420"/>
      <c r="K186" s="420"/>
    </row>
    <row r="187" spans="1:11" ht="14.5" customHeight="1" x14ac:dyDescent="0.35">
      <c r="A187" s="1" t="s">
        <v>1509</v>
      </c>
      <c r="B187" s="2" t="str">
        <f t="shared" si="5"/>
        <v>NO</v>
      </c>
      <c r="C187" s="390" t="s">
        <v>188</v>
      </c>
      <c r="D187" s="390" t="s">
        <v>773</v>
      </c>
      <c r="E187" s="1365" t="s">
        <v>1179</v>
      </c>
      <c r="F187" s="1366"/>
      <c r="G187" s="1366"/>
      <c r="H187" s="1367"/>
      <c r="I187" s="423"/>
      <c r="J187" s="420"/>
      <c r="K187" s="420"/>
    </row>
    <row r="188" spans="1:11" ht="14.5" customHeight="1" x14ac:dyDescent="0.35">
      <c r="A188" s="1" t="s">
        <v>1509</v>
      </c>
      <c r="B188" s="2" t="str">
        <f t="shared" si="5"/>
        <v>NO</v>
      </c>
      <c r="C188" s="390" t="s">
        <v>1069</v>
      </c>
      <c r="D188" s="390" t="s">
        <v>773</v>
      </c>
      <c r="E188" s="1365" t="s">
        <v>1180</v>
      </c>
      <c r="F188" s="1366"/>
      <c r="G188" s="1366"/>
      <c r="H188" s="1367"/>
      <c r="I188" s="423"/>
      <c r="J188" s="420"/>
      <c r="K188" s="420"/>
    </row>
    <row r="189" spans="1:11" ht="14.5" customHeight="1" x14ac:dyDescent="0.35">
      <c r="A189" s="1" t="s">
        <v>1509</v>
      </c>
      <c r="B189" s="2" t="str">
        <f t="shared" si="5"/>
        <v>NO</v>
      </c>
      <c r="C189" s="390" t="s">
        <v>1071</v>
      </c>
      <c r="D189" s="390" t="s">
        <v>773</v>
      </c>
      <c r="E189" s="1365" t="s">
        <v>1181</v>
      </c>
      <c r="F189" s="1366"/>
      <c r="G189" s="1366"/>
      <c r="H189" s="1367"/>
      <c r="I189" s="423"/>
      <c r="J189" s="420"/>
      <c r="K189" s="420"/>
    </row>
    <row r="190" spans="1:11" ht="14.5" customHeight="1" x14ac:dyDescent="0.35">
      <c r="A190" s="1" t="s">
        <v>1509</v>
      </c>
      <c r="B190" s="2" t="str">
        <f t="shared" si="5"/>
        <v>NO</v>
      </c>
      <c r="C190" s="390" t="s">
        <v>858</v>
      </c>
      <c r="D190" s="390" t="s">
        <v>773</v>
      </c>
      <c r="E190" s="1365" t="s">
        <v>1182</v>
      </c>
      <c r="F190" s="1366"/>
      <c r="G190" s="1366"/>
      <c r="H190" s="1367"/>
      <c r="I190" s="423"/>
      <c r="J190" s="420"/>
      <c r="K190" s="420"/>
    </row>
    <row r="191" spans="1:11" ht="14.5" customHeight="1" x14ac:dyDescent="0.35">
      <c r="A191" s="1" t="s">
        <v>1509</v>
      </c>
      <c r="B191" s="2" t="str">
        <f t="shared" si="5"/>
        <v>NO</v>
      </c>
      <c r="C191" s="390" t="s">
        <v>190</v>
      </c>
      <c r="D191" s="390" t="s">
        <v>773</v>
      </c>
      <c r="E191" s="1365" t="s">
        <v>1206</v>
      </c>
      <c r="F191" s="1366"/>
      <c r="G191" s="1366"/>
      <c r="H191" s="1367"/>
      <c r="I191" s="423"/>
      <c r="J191" s="420"/>
      <c r="K191" s="420"/>
    </row>
    <row r="192" spans="1:11" ht="14.5" customHeight="1" x14ac:dyDescent="0.35">
      <c r="A192" s="1" t="s">
        <v>1509</v>
      </c>
      <c r="B192" s="2" t="str">
        <f t="shared" si="5"/>
        <v>NO</v>
      </c>
      <c r="C192" s="390" t="s">
        <v>192</v>
      </c>
      <c r="D192" s="390" t="s">
        <v>773</v>
      </c>
      <c r="E192" s="1365" t="s">
        <v>1207</v>
      </c>
      <c r="F192" s="1366"/>
      <c r="G192" s="1366"/>
      <c r="H192" s="1367"/>
      <c r="I192" s="423"/>
      <c r="J192" s="420"/>
      <c r="K192" s="420"/>
    </row>
    <row r="193" spans="1:11" ht="14.5" customHeight="1" x14ac:dyDescent="0.35">
      <c r="A193" s="1" t="s">
        <v>1509</v>
      </c>
      <c r="B193" s="2" t="str">
        <f t="shared" si="5"/>
        <v>NO</v>
      </c>
      <c r="C193" s="390" t="s">
        <v>194</v>
      </c>
      <c r="D193" s="390" t="s">
        <v>773</v>
      </c>
      <c r="E193" s="1365" t="s">
        <v>1208</v>
      </c>
      <c r="F193" s="1366"/>
      <c r="G193" s="1366"/>
      <c r="H193" s="1367"/>
      <c r="I193" s="423"/>
      <c r="J193" s="420"/>
      <c r="K193" s="420"/>
    </row>
    <row r="194" spans="1:11" ht="14.5" customHeight="1" x14ac:dyDescent="0.35">
      <c r="A194" s="1" t="s">
        <v>1509</v>
      </c>
      <c r="B194" s="2" t="str">
        <f t="shared" si="5"/>
        <v>NO</v>
      </c>
      <c r="C194" s="390" t="s">
        <v>196</v>
      </c>
      <c r="D194" s="390" t="s">
        <v>773</v>
      </c>
      <c r="E194" s="1365" t="s">
        <v>1158</v>
      </c>
      <c r="F194" s="1366"/>
      <c r="G194" s="1366"/>
      <c r="H194" s="1367"/>
      <c r="I194" s="423"/>
      <c r="J194" s="420"/>
      <c r="K194" s="420"/>
    </row>
    <row r="195" spans="1:11" ht="14.5" customHeight="1" x14ac:dyDescent="0.35">
      <c r="A195" s="1" t="s">
        <v>1509</v>
      </c>
      <c r="B195" s="2" t="str">
        <f t="shared" si="5"/>
        <v>NO</v>
      </c>
      <c r="C195" s="390" t="s">
        <v>198</v>
      </c>
      <c r="D195" s="390" t="s">
        <v>773</v>
      </c>
      <c r="E195" s="1365" t="s">
        <v>1159</v>
      </c>
      <c r="F195" s="1366"/>
      <c r="G195" s="1366"/>
      <c r="H195" s="1367"/>
      <c r="I195" s="423"/>
      <c r="J195" s="420"/>
      <c r="K195" s="420"/>
    </row>
    <row r="196" spans="1:11" ht="14.5" customHeight="1" x14ac:dyDescent="0.35">
      <c r="A196" s="1" t="s">
        <v>1509</v>
      </c>
      <c r="B196" s="2" t="str">
        <f t="shared" si="5"/>
        <v>NO</v>
      </c>
      <c r="C196" s="390" t="s">
        <v>200</v>
      </c>
      <c r="D196" s="390" t="s">
        <v>773</v>
      </c>
      <c r="E196" s="1365" t="s">
        <v>1183</v>
      </c>
      <c r="F196" s="1366"/>
      <c r="G196" s="1366"/>
      <c r="H196" s="1367"/>
      <c r="I196" s="423"/>
      <c r="J196" s="420"/>
      <c r="K196" s="420"/>
    </row>
    <row r="197" spans="1:11" ht="14.5" customHeight="1" x14ac:dyDescent="0.35">
      <c r="A197" s="1" t="s">
        <v>1509</v>
      </c>
      <c r="B197" s="2" t="str">
        <f t="shared" si="5"/>
        <v>NO</v>
      </c>
      <c r="C197" s="390" t="s">
        <v>847</v>
      </c>
      <c r="D197" s="390" t="s">
        <v>773</v>
      </c>
      <c r="E197" s="1365" t="s">
        <v>1184</v>
      </c>
      <c r="F197" s="1366"/>
      <c r="G197" s="1366"/>
      <c r="H197" s="1367"/>
      <c r="I197" s="423"/>
      <c r="J197" s="420"/>
      <c r="K197" s="420"/>
    </row>
    <row r="198" spans="1:11" ht="14.5" customHeight="1" x14ac:dyDescent="0.35">
      <c r="A198" s="1" t="s">
        <v>1509</v>
      </c>
      <c r="B198" s="2" t="str">
        <f t="shared" si="5"/>
        <v>NO</v>
      </c>
      <c r="C198" s="390" t="s">
        <v>203</v>
      </c>
      <c r="D198" s="390" t="s">
        <v>773</v>
      </c>
      <c r="E198" s="1365" t="s">
        <v>1185</v>
      </c>
      <c r="F198" s="1366"/>
      <c r="G198" s="1366"/>
      <c r="H198" s="1367"/>
      <c r="I198" s="423"/>
      <c r="J198" s="420"/>
      <c r="K198" s="420"/>
    </row>
    <row r="199" spans="1:11" ht="14.5" customHeight="1" x14ac:dyDescent="0.35">
      <c r="A199" s="1" t="s">
        <v>1509</v>
      </c>
      <c r="B199" s="2" t="str">
        <f t="shared" si="5"/>
        <v>NO</v>
      </c>
      <c r="C199" s="390" t="s">
        <v>872</v>
      </c>
      <c r="D199" s="390" t="s">
        <v>773</v>
      </c>
      <c r="E199" s="1365" t="s">
        <v>1186</v>
      </c>
      <c r="F199" s="1366"/>
      <c r="G199" s="1366"/>
      <c r="H199" s="1367"/>
      <c r="I199" s="423"/>
      <c r="J199" s="420"/>
      <c r="K199" s="420"/>
    </row>
    <row r="200" spans="1:11" ht="14.5" customHeight="1" x14ac:dyDescent="0.35">
      <c r="A200" s="1" t="s">
        <v>1509</v>
      </c>
      <c r="B200" s="2" t="str">
        <f t="shared" si="5"/>
        <v>NO</v>
      </c>
      <c r="C200" s="390" t="s">
        <v>869</v>
      </c>
      <c r="D200" s="390" t="s">
        <v>773</v>
      </c>
      <c r="E200" s="1365" t="s">
        <v>1187</v>
      </c>
      <c r="F200" s="1366"/>
      <c r="G200" s="1366"/>
      <c r="H200" s="1367"/>
      <c r="I200" s="423"/>
      <c r="J200" s="420"/>
      <c r="K200" s="420"/>
    </row>
    <row r="201" spans="1:11" ht="14.5" customHeight="1" x14ac:dyDescent="0.35">
      <c r="A201" s="1" t="s">
        <v>1509</v>
      </c>
      <c r="B201" s="2" t="str">
        <f t="shared" si="5"/>
        <v>NO</v>
      </c>
      <c r="C201" s="390" t="s">
        <v>866</v>
      </c>
      <c r="D201" s="390" t="s">
        <v>773</v>
      </c>
      <c r="E201" s="1365" t="s">
        <v>1188</v>
      </c>
      <c r="F201" s="1366"/>
      <c r="G201" s="1366"/>
      <c r="H201" s="1367"/>
      <c r="I201" s="423"/>
      <c r="J201" s="420"/>
      <c r="K201" s="420"/>
    </row>
    <row r="202" spans="1:11" ht="14.5" customHeight="1" x14ac:dyDescent="0.35">
      <c r="A202" s="1" t="s">
        <v>1509</v>
      </c>
      <c r="B202" s="2" t="str">
        <f t="shared" si="5"/>
        <v>NO</v>
      </c>
      <c r="C202" s="390" t="s">
        <v>863</v>
      </c>
      <c r="D202" s="390" t="s">
        <v>773</v>
      </c>
      <c r="E202" s="1365" t="s">
        <v>1189</v>
      </c>
      <c r="F202" s="1366"/>
      <c r="G202" s="1366"/>
      <c r="H202" s="1367"/>
      <c r="I202" s="423"/>
      <c r="J202" s="420"/>
      <c r="K202" s="420"/>
    </row>
    <row r="203" spans="1:11" ht="14.5" customHeight="1" x14ac:dyDescent="0.35">
      <c r="A203" s="1" t="s">
        <v>1509</v>
      </c>
      <c r="B203" s="2" t="str">
        <f t="shared" si="5"/>
        <v>NO</v>
      </c>
      <c r="C203" s="390" t="s">
        <v>209</v>
      </c>
      <c r="D203" s="390" t="s">
        <v>773</v>
      </c>
      <c r="E203" s="1365" t="s">
        <v>1190</v>
      </c>
      <c r="F203" s="1366"/>
      <c r="G203" s="1366"/>
      <c r="H203" s="1367"/>
      <c r="I203" s="423"/>
      <c r="J203" s="420"/>
      <c r="K203" s="420"/>
    </row>
    <row r="204" spans="1:11" ht="14.5" customHeight="1" x14ac:dyDescent="0.35">
      <c r="A204" s="1" t="s">
        <v>1509</v>
      </c>
      <c r="B204" s="2" t="str">
        <f t="shared" si="5"/>
        <v>NO</v>
      </c>
      <c r="C204" s="390" t="s">
        <v>860</v>
      </c>
      <c r="D204" s="390" t="s">
        <v>773</v>
      </c>
      <c r="E204" s="1365" t="s">
        <v>1191</v>
      </c>
      <c r="F204" s="1366"/>
      <c r="G204" s="1366"/>
      <c r="H204" s="1367"/>
      <c r="I204" s="423"/>
      <c r="J204" s="420"/>
      <c r="K204" s="420"/>
    </row>
    <row r="205" spans="1:11" ht="14.5" customHeight="1" x14ac:dyDescent="0.35">
      <c r="A205" s="1" t="s">
        <v>1509</v>
      </c>
      <c r="B205" s="2" t="str">
        <f t="shared" si="5"/>
        <v>NO</v>
      </c>
      <c r="C205" s="390" t="s">
        <v>857</v>
      </c>
      <c r="D205" s="390" t="s">
        <v>773</v>
      </c>
      <c r="E205" s="1365" t="s">
        <v>1192</v>
      </c>
      <c r="F205" s="1366"/>
      <c r="G205" s="1366"/>
      <c r="H205" s="1367"/>
      <c r="I205" s="423"/>
      <c r="J205" s="420"/>
      <c r="K205" s="420"/>
    </row>
    <row r="206" spans="1:11" ht="14.5" customHeight="1" x14ac:dyDescent="0.35">
      <c r="A206" s="1" t="s">
        <v>1509</v>
      </c>
      <c r="B206" s="2" t="str">
        <f t="shared" si="5"/>
        <v>NO</v>
      </c>
      <c r="C206" s="390" t="s">
        <v>853</v>
      </c>
      <c r="D206" s="390" t="s">
        <v>773</v>
      </c>
      <c r="E206" s="1365" t="s">
        <v>1193</v>
      </c>
      <c r="F206" s="1366"/>
      <c r="G206" s="1366"/>
      <c r="H206" s="1367"/>
      <c r="I206" s="423"/>
      <c r="J206" s="420"/>
      <c r="K206" s="420"/>
    </row>
    <row r="207" spans="1:11" ht="14.5" customHeight="1" x14ac:dyDescent="0.35">
      <c r="A207" s="1" t="s">
        <v>1509</v>
      </c>
      <c r="B207" s="2" t="str">
        <f t="shared" si="5"/>
        <v>NO</v>
      </c>
      <c r="C207" s="390" t="s">
        <v>851</v>
      </c>
      <c r="D207" s="390" t="s">
        <v>773</v>
      </c>
      <c r="E207" s="1365" t="s">
        <v>1194</v>
      </c>
      <c r="F207" s="1366"/>
      <c r="G207" s="1366"/>
      <c r="H207" s="1367"/>
      <c r="I207" s="423"/>
      <c r="J207" s="420"/>
      <c r="K207" s="420"/>
    </row>
    <row r="208" spans="1:11" ht="14.5" customHeight="1" x14ac:dyDescent="0.35">
      <c r="A208" s="1" t="s">
        <v>1509</v>
      </c>
      <c r="B208" s="2" t="str">
        <f t="shared" si="5"/>
        <v>NO</v>
      </c>
      <c r="C208" s="390" t="s">
        <v>849</v>
      </c>
      <c r="D208" s="390" t="s">
        <v>773</v>
      </c>
      <c r="E208" s="1365" t="s">
        <v>1195</v>
      </c>
      <c r="F208" s="1366"/>
      <c r="G208" s="1366"/>
      <c r="H208" s="1367"/>
      <c r="I208" s="423"/>
      <c r="J208" s="420"/>
      <c r="K208" s="420"/>
    </row>
    <row r="209" spans="1:11" ht="14.5" customHeight="1" x14ac:dyDescent="0.35">
      <c r="A209" s="1" t="s">
        <v>1509</v>
      </c>
      <c r="B209" s="2" t="str">
        <f t="shared" si="5"/>
        <v>NO</v>
      </c>
      <c r="C209" s="390" t="s">
        <v>846</v>
      </c>
      <c r="D209" s="390" t="s">
        <v>773</v>
      </c>
      <c r="E209" s="1365" t="s">
        <v>1196</v>
      </c>
      <c r="F209" s="1366"/>
      <c r="G209" s="1366"/>
      <c r="H209" s="1367"/>
      <c r="I209" s="423"/>
      <c r="J209" s="420"/>
      <c r="K209" s="420"/>
    </row>
    <row r="210" spans="1:11" ht="14.5" customHeight="1" x14ac:dyDescent="0.35">
      <c r="A210" s="1" t="s">
        <v>1509</v>
      </c>
      <c r="B210" s="2" t="str">
        <f t="shared" si="5"/>
        <v>NO</v>
      </c>
      <c r="C210" s="390" t="s">
        <v>217</v>
      </c>
      <c r="D210" s="390" t="s">
        <v>773</v>
      </c>
      <c r="E210" s="1365" t="s">
        <v>1197</v>
      </c>
      <c r="F210" s="1366"/>
      <c r="G210" s="1366"/>
      <c r="H210" s="1367"/>
      <c r="I210" s="423"/>
      <c r="J210" s="420"/>
      <c r="K210" s="420"/>
    </row>
    <row r="211" spans="1:11" ht="14.5" customHeight="1" x14ac:dyDescent="0.35">
      <c r="A211" s="1" t="s">
        <v>1509</v>
      </c>
      <c r="B211" s="2" t="str">
        <f t="shared" si="5"/>
        <v>NO</v>
      </c>
      <c r="C211" s="390" t="s">
        <v>219</v>
      </c>
      <c r="D211" s="390" t="s">
        <v>773</v>
      </c>
      <c r="E211" s="1365" t="s">
        <v>1198</v>
      </c>
      <c r="F211" s="1366"/>
      <c r="G211" s="1366"/>
      <c r="H211" s="1367"/>
      <c r="I211" s="423"/>
      <c r="J211" s="420"/>
      <c r="K211" s="420"/>
    </row>
    <row r="212" spans="1:11" ht="14.5" customHeight="1" x14ac:dyDescent="0.35">
      <c r="A212" s="1" t="s">
        <v>1509</v>
      </c>
      <c r="B212" s="2" t="str">
        <f t="shared" si="5"/>
        <v>NO</v>
      </c>
      <c r="C212" s="390" t="s">
        <v>221</v>
      </c>
      <c r="D212" s="390" t="s">
        <v>773</v>
      </c>
      <c r="E212" s="1365" t="s">
        <v>1199</v>
      </c>
      <c r="F212" s="1366"/>
      <c r="G212" s="1366"/>
      <c r="H212" s="1367"/>
      <c r="I212" s="423"/>
      <c r="J212" s="420"/>
      <c r="K212" s="420"/>
    </row>
    <row r="213" spans="1:11" ht="14.5" customHeight="1" x14ac:dyDescent="0.35">
      <c r="A213" s="1" t="s">
        <v>1509</v>
      </c>
      <c r="B213" s="2" t="str">
        <f t="shared" si="5"/>
        <v>NO</v>
      </c>
      <c r="C213" s="390" t="s">
        <v>223</v>
      </c>
      <c r="D213" s="390" t="s">
        <v>773</v>
      </c>
      <c r="E213" s="1365" t="s">
        <v>1160</v>
      </c>
      <c r="F213" s="1366"/>
      <c r="G213" s="1366"/>
      <c r="H213" s="1367"/>
      <c r="I213" s="423"/>
      <c r="J213" s="420"/>
      <c r="K213" s="420"/>
    </row>
    <row r="214" spans="1:11" ht="14.5" customHeight="1" x14ac:dyDescent="0.35">
      <c r="A214" s="1" t="s">
        <v>1509</v>
      </c>
      <c r="B214" s="2" t="str">
        <f t="shared" si="5"/>
        <v>NO</v>
      </c>
      <c r="C214" s="390" t="s">
        <v>225</v>
      </c>
      <c r="D214" s="390" t="s">
        <v>773</v>
      </c>
      <c r="E214" s="1365" t="s">
        <v>1200</v>
      </c>
      <c r="F214" s="1366"/>
      <c r="G214" s="1366"/>
      <c r="H214" s="1367"/>
      <c r="I214" s="423"/>
      <c r="J214" s="420"/>
      <c r="K214" s="420"/>
    </row>
    <row r="215" spans="1:11" ht="14.5" customHeight="1" x14ac:dyDescent="0.35">
      <c r="A215" s="1" t="s">
        <v>1509</v>
      </c>
      <c r="B215" s="2" t="str">
        <f t="shared" si="5"/>
        <v>NO</v>
      </c>
      <c r="C215" s="390" t="s">
        <v>227</v>
      </c>
      <c r="D215" s="390" t="s">
        <v>773</v>
      </c>
      <c r="E215" s="1365" t="s">
        <v>1201</v>
      </c>
      <c r="F215" s="1366"/>
      <c r="G215" s="1366"/>
      <c r="H215" s="1367"/>
      <c r="I215" s="423"/>
      <c r="J215" s="420"/>
      <c r="K215" s="420"/>
    </row>
    <row r="216" spans="1:11" ht="14.5" customHeight="1" x14ac:dyDescent="0.35">
      <c r="A216" s="1" t="s">
        <v>1509</v>
      </c>
      <c r="B216" s="2" t="str">
        <f t="shared" si="5"/>
        <v>NO</v>
      </c>
      <c r="C216" s="390" t="s">
        <v>868</v>
      </c>
      <c r="D216" s="390" t="s">
        <v>773</v>
      </c>
      <c r="E216" s="1365" t="s">
        <v>1202</v>
      </c>
      <c r="F216" s="1366"/>
      <c r="G216" s="1366"/>
      <c r="H216" s="1367"/>
      <c r="I216" s="423"/>
      <c r="J216" s="420"/>
      <c r="K216" s="420"/>
    </row>
    <row r="217" spans="1:11" ht="14.5" customHeight="1" x14ac:dyDescent="0.35">
      <c r="A217" s="1" t="s">
        <v>1509</v>
      </c>
      <c r="B217" s="2" t="str">
        <f>IF(SUM(I217:K217)&gt;0,"SI","NO")</f>
        <v>NO</v>
      </c>
      <c r="C217" s="390" t="s">
        <v>230</v>
      </c>
      <c r="D217" s="390" t="s">
        <v>773</v>
      </c>
      <c r="E217" s="1365" t="s">
        <v>1203</v>
      </c>
      <c r="F217" s="1366"/>
      <c r="G217" s="1366"/>
      <c r="H217" s="1367"/>
      <c r="I217" s="423"/>
      <c r="J217" s="420"/>
      <c r="K217" s="420"/>
    </row>
    <row r="218" spans="1:11" ht="14.5" customHeight="1" x14ac:dyDescent="0.35">
      <c r="A218" s="1" t="s">
        <v>1509</v>
      </c>
      <c r="B218" s="2" t="str">
        <f>IF(SUM(I218:K218)&gt;0,"SI","NO")</f>
        <v>NO</v>
      </c>
      <c r="C218" s="390" t="s">
        <v>859</v>
      </c>
      <c r="D218" s="390" t="s">
        <v>773</v>
      </c>
      <c r="E218" s="1365" t="s">
        <v>1161</v>
      </c>
      <c r="F218" s="1366"/>
      <c r="G218" s="1366"/>
      <c r="H218" s="1367"/>
      <c r="I218" s="423"/>
      <c r="J218" s="420"/>
      <c r="K218" s="420"/>
    </row>
    <row r="219" spans="1:11" ht="14.5" customHeight="1" x14ac:dyDescent="0.35">
      <c r="A219" s="1" t="s">
        <v>1509</v>
      </c>
      <c r="B219" s="2" t="str">
        <f>IF(SUM(I219:K219)&gt;0,"SI","NO")</f>
        <v>NO</v>
      </c>
      <c r="C219" s="390" t="s">
        <v>856</v>
      </c>
      <c r="D219" s="390" t="s">
        <v>773</v>
      </c>
      <c r="E219" s="1365" t="s">
        <v>1073</v>
      </c>
      <c r="F219" s="1366"/>
      <c r="G219" s="1366"/>
      <c r="H219" s="1367"/>
      <c r="I219" s="423"/>
      <c r="J219" s="420"/>
      <c r="K219" s="420"/>
    </row>
    <row r="220" spans="1:11" s="392" customFormat="1" x14ac:dyDescent="0.35">
      <c r="B220" s="2" t="str">
        <f>IF(SUM(I$84:K$219)&gt;0,"SI","NO")</f>
        <v>SI</v>
      </c>
      <c r="C220" s="396"/>
      <c r="D220" s="397"/>
      <c r="E220" s="398"/>
      <c r="F220" s="398"/>
      <c r="G220" s="1384"/>
      <c r="H220" s="1385"/>
      <c r="I220" s="399" t="s">
        <v>1464</v>
      </c>
      <c r="J220" s="421">
        <f>SUMIF($D84:$D219,"+",J84:J219)-SUMIF($D84:$D219,"-",J84:J219)</f>
        <v>0</v>
      </c>
      <c r="K220" s="421">
        <f>SUMIF($D84:$D219,"+",K84:K219)-SUMIF($D84:$D219,"-",K84:K219)</f>
        <v>0</v>
      </c>
    </row>
    <row r="221" spans="1:11" x14ac:dyDescent="0.35">
      <c r="B221" s="2" t="str">
        <f>IF(SUM(I$84:K$219)&gt;0,"SI","NO")</f>
        <v>SI</v>
      </c>
    </row>
    <row r="222" spans="1:11" x14ac:dyDescent="0.35">
      <c r="B222" s="2" t="str">
        <f>IF(SUM(I$224:K$230)&gt;0,"SI","NO")</f>
        <v>NO</v>
      </c>
      <c r="C222" s="1369" t="s">
        <v>1406</v>
      </c>
      <c r="D222" s="1370"/>
      <c r="E222" s="1370"/>
      <c r="F222" s="1370"/>
      <c r="G222" s="1370"/>
      <c r="H222" s="1370"/>
      <c r="I222" s="1370"/>
      <c r="J222" s="1370"/>
      <c r="K222" s="1371"/>
    </row>
    <row r="223" spans="1:11" s="402" customFormat="1" x14ac:dyDescent="0.35">
      <c r="B223" s="2" t="str">
        <f>IF(SUM(I$224:K$230)&gt;0,"SI","NO")</f>
        <v>NO</v>
      </c>
      <c r="C223" s="400" t="s">
        <v>1407</v>
      </c>
      <c r="D223" s="400"/>
      <c r="E223" s="1372" t="s">
        <v>1404</v>
      </c>
      <c r="F223" s="1373" t="s">
        <v>753</v>
      </c>
      <c r="G223" s="1374"/>
      <c r="H223" s="400"/>
      <c r="I223" s="1372" t="s">
        <v>1038</v>
      </c>
      <c r="J223" s="1373"/>
      <c r="K223" s="1374"/>
    </row>
    <row r="224" spans="1:11" x14ac:dyDescent="0.35">
      <c r="A224" s="1" t="s">
        <v>1512</v>
      </c>
      <c r="B224" s="2" t="str">
        <f t="shared" ref="B224:B230" si="7">IF(SUM(I224:K224)&gt;0,"SI","NO")</f>
        <v>NO</v>
      </c>
      <c r="C224" s="390" t="s">
        <v>1345</v>
      </c>
      <c r="D224" s="390" t="s">
        <v>773</v>
      </c>
      <c r="E224" s="1375" t="s">
        <v>1346</v>
      </c>
      <c r="F224" s="1376"/>
      <c r="G224" s="1376"/>
      <c r="H224" s="407"/>
      <c r="I224" s="406"/>
      <c r="J224" s="418">
        <v>0</v>
      </c>
      <c r="K224" s="407"/>
    </row>
    <row r="225" spans="1:11" x14ac:dyDescent="0.35">
      <c r="A225" s="1" t="s">
        <v>1513</v>
      </c>
      <c r="B225" s="2" t="str">
        <f t="shared" si="7"/>
        <v>NO</v>
      </c>
      <c r="C225" s="390" t="s">
        <v>1345</v>
      </c>
      <c r="D225" s="390" t="s">
        <v>773</v>
      </c>
      <c r="E225" s="1375" t="s">
        <v>1347</v>
      </c>
      <c r="F225" s="1376"/>
      <c r="G225" s="1376"/>
      <c r="H225" s="407"/>
      <c r="I225" s="406"/>
      <c r="J225" s="418">
        <v>0</v>
      </c>
      <c r="K225" s="407"/>
    </row>
    <row r="226" spans="1:11" x14ac:dyDescent="0.35">
      <c r="A226" s="1" t="s">
        <v>1514</v>
      </c>
      <c r="B226" s="2" t="str">
        <f t="shared" si="7"/>
        <v>NO</v>
      </c>
      <c r="C226" s="390" t="s">
        <v>1345</v>
      </c>
      <c r="D226" s="390" t="s">
        <v>773</v>
      </c>
      <c r="E226" s="1375" t="s">
        <v>1408</v>
      </c>
      <c r="F226" s="1376"/>
      <c r="G226" s="1376"/>
      <c r="H226" s="407"/>
      <c r="I226" s="406"/>
      <c r="J226" s="418">
        <v>0</v>
      </c>
      <c r="K226" s="407"/>
    </row>
    <row r="227" spans="1:11" x14ac:dyDescent="0.35">
      <c r="A227" s="1" t="s">
        <v>1515</v>
      </c>
      <c r="B227" s="2" t="str">
        <f t="shared" si="7"/>
        <v>NO</v>
      </c>
      <c r="C227" s="390" t="s">
        <v>1345</v>
      </c>
      <c r="D227" s="390" t="s">
        <v>773</v>
      </c>
      <c r="E227" s="1375" t="s">
        <v>1348</v>
      </c>
      <c r="F227" s="1376"/>
      <c r="G227" s="1376"/>
      <c r="H227" s="407"/>
      <c r="I227" s="406"/>
      <c r="J227" s="418">
        <v>0</v>
      </c>
      <c r="K227" s="407"/>
    </row>
    <row r="228" spans="1:11" x14ac:dyDescent="0.35">
      <c r="A228" s="1" t="s">
        <v>1516</v>
      </c>
      <c r="B228" s="2" t="str">
        <f t="shared" si="7"/>
        <v>NO</v>
      </c>
      <c r="C228" s="390" t="s">
        <v>1345</v>
      </c>
      <c r="D228" s="390" t="s">
        <v>773</v>
      </c>
      <c r="E228" s="1375" t="s">
        <v>1409</v>
      </c>
      <c r="F228" s="1376"/>
      <c r="G228" s="1376"/>
      <c r="H228" s="407"/>
      <c r="I228" s="406"/>
      <c r="J228" s="418">
        <v>0</v>
      </c>
      <c r="K228" s="407"/>
    </row>
    <row r="229" spans="1:11" x14ac:dyDescent="0.35">
      <c r="A229" s="1" t="s">
        <v>1517</v>
      </c>
      <c r="B229" s="2" t="str">
        <f t="shared" si="7"/>
        <v>NO</v>
      </c>
      <c r="C229" s="390" t="s">
        <v>1345</v>
      </c>
      <c r="D229" s="390" t="s">
        <v>773</v>
      </c>
      <c r="E229" s="1375" t="s">
        <v>1410</v>
      </c>
      <c r="F229" s="1376"/>
      <c r="G229" s="1376"/>
      <c r="H229" s="407"/>
      <c r="I229" s="406"/>
      <c r="J229" s="418">
        <v>0</v>
      </c>
      <c r="K229" s="407"/>
    </row>
    <row r="230" spans="1:11" x14ac:dyDescent="0.35">
      <c r="A230" s="1" t="s">
        <v>1518</v>
      </c>
      <c r="B230" s="2" t="str">
        <f t="shared" si="7"/>
        <v>NO</v>
      </c>
      <c r="C230" s="390" t="s">
        <v>1345</v>
      </c>
      <c r="D230" s="417" t="s">
        <v>1460</v>
      </c>
      <c r="E230" s="1375" t="s">
        <v>1411</v>
      </c>
      <c r="F230" s="1376"/>
      <c r="G230" s="1376"/>
      <c r="H230" s="407"/>
      <c r="I230" s="406"/>
      <c r="J230" s="418">
        <v>0</v>
      </c>
      <c r="K230" s="407"/>
    </row>
    <row r="231" spans="1:11" s="392" customFormat="1" x14ac:dyDescent="0.35">
      <c r="B231" s="2" t="str">
        <f>IF(SUM(I$224:K$230)&gt;0,"SI","NO")</f>
        <v>NO</v>
      </c>
      <c r="C231" s="396"/>
      <c r="D231" s="397"/>
      <c r="E231" s="398"/>
      <c r="F231" s="398"/>
      <c r="G231" s="414"/>
      <c r="H231" s="399" t="s">
        <v>1464</v>
      </c>
      <c r="I231" s="406"/>
      <c r="J231" s="419">
        <f>SUMIF($D224:$D230,"+",J224:J230)-SUMIF($D224:$D230,"-",J224:J230)</f>
        <v>0</v>
      </c>
      <c r="K231" s="409"/>
    </row>
    <row r="232" spans="1:11" x14ac:dyDescent="0.35">
      <c r="B232" s="2" t="str">
        <f>IF(SUM(I$224:K$230)&gt;0,"SI","NO")</f>
        <v>NO</v>
      </c>
    </row>
    <row r="233" spans="1:11" x14ac:dyDescent="0.35">
      <c r="B233" s="2" t="str">
        <f>IF(SUM(I$235:K$236)&gt;0,"SI","NO")</f>
        <v>NO</v>
      </c>
      <c r="C233" s="1369" t="s">
        <v>1412</v>
      </c>
      <c r="D233" s="1370"/>
      <c r="E233" s="1370"/>
      <c r="F233" s="1370"/>
      <c r="G233" s="1370"/>
      <c r="H233" s="1370"/>
      <c r="I233" s="1370"/>
      <c r="J233" s="1370"/>
      <c r="K233" s="1371"/>
    </row>
    <row r="234" spans="1:11" s="402" customFormat="1" x14ac:dyDescent="0.35">
      <c r="B234" s="2" t="str">
        <f>IF(SUM(I$235:K$236)&gt;0,"SI","NO")</f>
        <v>NO</v>
      </c>
      <c r="C234" s="400" t="s">
        <v>1407</v>
      </c>
      <c r="D234" s="400"/>
      <c r="E234" s="1372" t="s">
        <v>1413</v>
      </c>
      <c r="F234" s="1373" t="s">
        <v>753</v>
      </c>
      <c r="G234" s="1373"/>
      <c r="H234" s="415"/>
      <c r="I234" s="1372" t="s">
        <v>1038</v>
      </c>
      <c r="J234" s="1373"/>
      <c r="K234" s="1374"/>
    </row>
    <row r="235" spans="1:11" x14ac:dyDescent="0.35">
      <c r="A235" s="1" t="s">
        <v>1519</v>
      </c>
      <c r="B235" s="2" t="str">
        <f>IF(SUM(I235:K235)&gt;0,"SI","NO")</f>
        <v>NO</v>
      </c>
      <c r="C235" s="390" t="s">
        <v>1349</v>
      </c>
      <c r="D235" s="390" t="s">
        <v>773</v>
      </c>
      <c r="E235" s="1375" t="s">
        <v>1414</v>
      </c>
      <c r="F235" s="1376"/>
      <c r="G235" s="1376"/>
      <c r="H235" s="407"/>
      <c r="I235" s="406"/>
      <c r="J235" s="418">
        <v>0</v>
      </c>
      <c r="K235" s="407"/>
    </row>
    <row r="236" spans="1:11" x14ac:dyDescent="0.35">
      <c r="A236" s="1" t="s">
        <v>1520</v>
      </c>
      <c r="B236" s="2" t="str">
        <f>IF(SUM(I236:K236)&gt;0,"SI","NO")</f>
        <v>NO</v>
      </c>
      <c r="C236" s="390" t="s">
        <v>1349</v>
      </c>
      <c r="D236" s="390" t="s">
        <v>773</v>
      </c>
      <c r="E236" s="1375" t="s">
        <v>1415</v>
      </c>
      <c r="F236" s="1376"/>
      <c r="G236" s="1376"/>
      <c r="H236" s="407"/>
      <c r="I236" s="406"/>
      <c r="J236" s="418">
        <v>0</v>
      </c>
      <c r="K236" s="407"/>
    </row>
    <row r="237" spans="1:11" s="392" customFormat="1" x14ac:dyDescent="0.35">
      <c r="B237" s="2" t="str">
        <f>IF(SUM(I$235:K$236)&gt;0,"SI","NO")</f>
        <v>NO</v>
      </c>
      <c r="C237" s="396"/>
      <c r="D237" s="397"/>
      <c r="E237" s="398"/>
      <c r="F237" s="398"/>
      <c r="G237" s="414"/>
      <c r="H237" s="399" t="s">
        <v>1464</v>
      </c>
      <c r="I237" s="406"/>
      <c r="J237" s="419">
        <f>SUMIF($D235:$D236,"+",J235:J236)-SUMIF($D235:$D236,"-",J235:J236)</f>
        <v>0</v>
      </c>
      <c r="K237" s="407"/>
    </row>
    <row r="238" spans="1:11" x14ac:dyDescent="0.35">
      <c r="B238" s="2" t="str">
        <f>IF(SUM(I$235:K$236)&gt;0,"SI","NO")</f>
        <v>NO</v>
      </c>
    </row>
    <row r="239" spans="1:11" x14ac:dyDescent="0.35">
      <c r="B239" s="2" t="str">
        <f>IF(SUM(I$241:K$243)&gt;0,"SI","NO")</f>
        <v>NO</v>
      </c>
      <c r="C239" s="1369" t="s">
        <v>1416</v>
      </c>
      <c r="D239" s="1370"/>
      <c r="E239" s="1370"/>
      <c r="F239" s="1370"/>
      <c r="G239" s="1370"/>
      <c r="H239" s="1370"/>
      <c r="I239" s="1370"/>
      <c r="J239" s="1370"/>
      <c r="K239" s="1371"/>
    </row>
    <row r="240" spans="1:11" s="402" customFormat="1" ht="29" x14ac:dyDescent="0.35">
      <c r="B240" s="2" t="str">
        <f>IF(SUM(I$241:K$243)&gt;0,"SI","NO")</f>
        <v>NO</v>
      </c>
      <c r="C240" s="400" t="s">
        <v>1352</v>
      </c>
      <c r="D240" s="400"/>
      <c r="E240" s="1381" t="s">
        <v>1338</v>
      </c>
      <c r="F240" s="1382"/>
      <c r="G240" s="1382"/>
      <c r="H240" s="1383"/>
      <c r="I240" s="401" t="s">
        <v>1353</v>
      </c>
      <c r="J240" s="401" t="s">
        <v>1417</v>
      </c>
      <c r="K240" s="401" t="s">
        <v>1354</v>
      </c>
    </row>
    <row r="241" spans="1:11" x14ac:dyDescent="0.35">
      <c r="A241" s="1" t="s">
        <v>1510</v>
      </c>
      <c r="B241" s="2" t="str">
        <f>IF(SUM(I241:K241)&gt;0,"SI","NO")</f>
        <v>NO</v>
      </c>
      <c r="C241" s="390" t="s">
        <v>626</v>
      </c>
      <c r="D241" s="390" t="s">
        <v>773</v>
      </c>
      <c r="E241" s="1368" t="s">
        <v>1418</v>
      </c>
      <c r="F241" s="1368"/>
      <c r="G241" s="1368"/>
      <c r="H241" s="1368"/>
      <c r="I241" s="423"/>
      <c r="J241" s="420"/>
      <c r="K241" s="420"/>
    </row>
    <row r="242" spans="1:11" x14ac:dyDescent="0.35">
      <c r="A242" s="1" t="s">
        <v>1510</v>
      </c>
      <c r="B242" s="2" t="str">
        <f>IF(SUM(I242:K242)&gt;0,"SI","NO")</f>
        <v>NO</v>
      </c>
      <c r="C242" s="390" t="s">
        <v>627</v>
      </c>
      <c r="D242" s="417" t="s">
        <v>1460</v>
      </c>
      <c r="E242" s="1368" t="s">
        <v>1419</v>
      </c>
      <c r="F242" s="1368"/>
      <c r="G242" s="1368"/>
      <c r="H242" s="1368"/>
      <c r="I242" s="423"/>
      <c r="J242" s="420"/>
      <c r="K242" s="420"/>
    </row>
    <row r="243" spans="1:11" x14ac:dyDescent="0.35">
      <c r="A243" s="1" t="s">
        <v>1510</v>
      </c>
      <c r="B243" s="2" t="str">
        <f>IF(SUM(I243:K243)&gt;0,"SI","NO")</f>
        <v>NO</v>
      </c>
      <c r="C243" s="390" t="s">
        <v>628</v>
      </c>
      <c r="D243" s="390" t="s">
        <v>773</v>
      </c>
      <c r="E243" s="1368" t="s">
        <v>1420</v>
      </c>
      <c r="F243" s="1368"/>
      <c r="G243" s="1368"/>
      <c r="H243" s="1368"/>
      <c r="I243" s="423"/>
      <c r="J243" s="420"/>
      <c r="K243" s="420"/>
    </row>
    <row r="244" spans="1:11" s="392" customFormat="1" x14ac:dyDescent="0.35">
      <c r="B244" s="2" t="str">
        <f>IF(SUM(I$241:K$243)&gt;0,"SI","NO")</f>
        <v>NO</v>
      </c>
      <c r="C244" s="396"/>
      <c r="D244" s="397"/>
      <c r="E244" s="398"/>
      <c r="F244" s="398"/>
      <c r="G244" s="398"/>
      <c r="H244" s="399"/>
      <c r="I244" s="399" t="s">
        <v>1464</v>
      </c>
      <c r="J244" s="419">
        <f>SUMIF($D241:$D243,"+",J241:J243)-SUMIF($D241:$D243,"-",J241:J243)</f>
        <v>0</v>
      </c>
      <c r="K244" s="419">
        <f>SUMIF($D241:$D243,"+",K241:K243)-SUMIF($D241:$D243,"-",K241:K243)</f>
        <v>0</v>
      </c>
    </row>
    <row r="245" spans="1:11" x14ac:dyDescent="0.35">
      <c r="B245" s="2" t="str">
        <f>IF(SUM(I$241:K$243)&gt;0,"SI","NO")</f>
        <v>NO</v>
      </c>
    </row>
    <row r="246" spans="1:11" x14ac:dyDescent="0.35">
      <c r="B246" s="2" t="str">
        <f>IF(SUM(I$248:K$249)&gt;0,"SI","NO")</f>
        <v>NO</v>
      </c>
      <c r="C246" s="1369" t="s">
        <v>1421</v>
      </c>
      <c r="D246" s="1370"/>
      <c r="E246" s="1370"/>
      <c r="F246" s="1370"/>
      <c r="G246" s="1370"/>
      <c r="H246" s="1370"/>
      <c r="I246" s="1370"/>
      <c r="J246" s="1370"/>
      <c r="K246" s="1371"/>
    </row>
    <row r="247" spans="1:11" s="402" customFormat="1" x14ac:dyDescent="0.35">
      <c r="B247" s="2" t="str">
        <f>IF(SUM(I$248:K$249)&gt;0,"SI","NO")</f>
        <v>NO</v>
      </c>
      <c r="C247" s="400" t="s">
        <v>1407</v>
      </c>
      <c r="D247" s="400"/>
      <c r="E247" s="1372" t="s">
        <v>1422</v>
      </c>
      <c r="F247" s="1373"/>
      <c r="G247" s="1373"/>
      <c r="H247" s="415"/>
      <c r="I247" s="1372" t="s">
        <v>1038</v>
      </c>
      <c r="J247" s="1373"/>
      <c r="K247" s="1374"/>
    </row>
    <row r="248" spans="1:11" x14ac:dyDescent="0.35">
      <c r="A248" s="1" t="s">
        <v>1521</v>
      </c>
      <c r="B248" s="2" t="str">
        <f>IF(SUM(I248:K248)&gt;0,"SI","NO")</f>
        <v>NO</v>
      </c>
      <c r="C248" s="390" t="s">
        <v>1423</v>
      </c>
      <c r="D248" s="390" t="s">
        <v>773</v>
      </c>
      <c r="E248" s="1375" t="s">
        <v>1424</v>
      </c>
      <c r="F248" s="1376"/>
      <c r="G248" s="1376"/>
      <c r="H248" s="407"/>
      <c r="I248" s="406"/>
      <c r="J248" s="418">
        <v>0</v>
      </c>
      <c r="K248" s="407"/>
    </row>
    <row r="249" spans="1:11" x14ac:dyDescent="0.35">
      <c r="A249" s="1" t="s">
        <v>1522</v>
      </c>
      <c r="B249" s="2" t="str">
        <f>IF(SUM(I249:K249)&gt;0,"SI","NO")</f>
        <v>NO</v>
      </c>
      <c r="C249" s="390" t="s">
        <v>1423</v>
      </c>
      <c r="D249" s="390" t="s">
        <v>773</v>
      </c>
      <c r="E249" s="1375" t="s">
        <v>1425</v>
      </c>
      <c r="F249" s="1376"/>
      <c r="G249" s="1376"/>
      <c r="H249" s="407"/>
      <c r="I249" s="406"/>
      <c r="J249" s="418">
        <v>0</v>
      </c>
      <c r="K249" s="407"/>
    </row>
    <row r="250" spans="1:11" s="392" customFormat="1" x14ac:dyDescent="0.35">
      <c r="B250" s="2" t="str">
        <f>IF(SUM(I$248:K$249)&gt;0,"SI","NO")</f>
        <v>NO</v>
      </c>
      <c r="C250" s="396"/>
      <c r="D250" s="397"/>
      <c r="E250" s="398"/>
      <c r="F250" s="398"/>
      <c r="G250" s="414"/>
      <c r="H250" s="399" t="s">
        <v>1464</v>
      </c>
      <c r="I250" s="406"/>
      <c r="J250" s="419">
        <f>SUMIF($D248:$D249,"+",J248:J249)-SUMIF($D248:$D249,"-",J248:J249)</f>
        <v>0</v>
      </c>
      <c r="K250" s="407"/>
    </row>
    <row r="251" spans="1:11" x14ac:dyDescent="0.35">
      <c r="B251" s="2" t="str">
        <f>IF(SUM(I$248:K$249)&gt;0,"SI","NO")</f>
        <v>NO</v>
      </c>
    </row>
    <row r="252" spans="1:11" x14ac:dyDescent="0.35">
      <c r="B252" s="2" t="str">
        <f>IF(SUM(I$254:K$287)&gt;0,"SI","NO")</f>
        <v>NO</v>
      </c>
      <c r="C252" s="1369" t="s">
        <v>976</v>
      </c>
      <c r="D252" s="1370"/>
      <c r="E252" s="1370"/>
      <c r="F252" s="1370"/>
      <c r="G252" s="1370"/>
      <c r="H252" s="1370"/>
      <c r="I252" s="1370"/>
      <c r="J252" s="1370"/>
      <c r="K252" s="1371"/>
    </row>
    <row r="253" spans="1:11" s="402" customFormat="1" ht="29" x14ac:dyDescent="0.35">
      <c r="B253" s="2" t="str">
        <f>IF(SUM(I$254:K$281)&gt;0,"SI","NO")</f>
        <v>NO</v>
      </c>
      <c r="C253" s="400" t="s">
        <v>1352</v>
      </c>
      <c r="D253" s="400"/>
      <c r="E253" s="1381" t="s">
        <v>1470</v>
      </c>
      <c r="F253" s="1382"/>
      <c r="G253" s="1382"/>
      <c r="H253" s="1383"/>
      <c r="I253" s="401" t="s">
        <v>1353</v>
      </c>
      <c r="J253" s="401" t="s">
        <v>1405</v>
      </c>
      <c r="K253" s="401" t="s">
        <v>1038</v>
      </c>
    </row>
    <row r="254" spans="1:11" x14ac:dyDescent="0.35">
      <c r="A254" s="1" t="s">
        <v>1526</v>
      </c>
      <c r="B254" s="2" t="str">
        <f t="shared" ref="B254:B281" si="8">IF(SUM(I254:K254)&gt;0,"SI","NO")</f>
        <v>NO</v>
      </c>
      <c r="C254" s="390" t="s">
        <v>1457</v>
      </c>
      <c r="D254" s="390" t="s">
        <v>773</v>
      </c>
      <c r="E254" s="1368" t="s">
        <v>1128</v>
      </c>
      <c r="F254" s="1368"/>
      <c r="G254" s="1368"/>
      <c r="H254" s="1368"/>
      <c r="I254" s="423"/>
      <c r="J254" s="420"/>
      <c r="K254" s="420"/>
    </row>
    <row r="255" spans="1:11" x14ac:dyDescent="0.35">
      <c r="A255" s="1" t="s">
        <v>1526</v>
      </c>
      <c r="B255" s="2" t="str">
        <f t="shared" si="8"/>
        <v>NO</v>
      </c>
      <c r="C255" s="390" t="s">
        <v>109</v>
      </c>
      <c r="D255" s="390" t="s">
        <v>773</v>
      </c>
      <c r="E255" s="1368" t="s">
        <v>1129</v>
      </c>
      <c r="F255" s="1368"/>
      <c r="G255" s="1368"/>
      <c r="H255" s="1368"/>
      <c r="I255" s="423"/>
      <c r="J255" s="420"/>
      <c r="K255" s="420"/>
    </row>
    <row r="256" spans="1:11" x14ac:dyDescent="0.35">
      <c r="A256" s="1" t="s">
        <v>1526</v>
      </c>
      <c r="B256" s="2" t="str">
        <f t="shared" si="8"/>
        <v>NO</v>
      </c>
      <c r="C256" s="390" t="s">
        <v>111</v>
      </c>
      <c r="D256" s="390" t="s">
        <v>773</v>
      </c>
      <c r="E256" s="1368" t="s">
        <v>1130</v>
      </c>
      <c r="F256" s="1368"/>
      <c r="G256" s="1368"/>
      <c r="H256" s="1368"/>
      <c r="I256" s="423"/>
      <c r="J256" s="420"/>
      <c r="K256" s="420"/>
    </row>
    <row r="257" spans="1:11" x14ac:dyDescent="0.35">
      <c r="A257" s="1" t="s">
        <v>1526</v>
      </c>
      <c r="B257" s="2" t="str">
        <f t="shared" si="8"/>
        <v>NO</v>
      </c>
      <c r="C257" s="390" t="s">
        <v>113</v>
      </c>
      <c r="D257" s="390" t="s">
        <v>773</v>
      </c>
      <c r="E257" s="1368" t="s">
        <v>1131</v>
      </c>
      <c r="F257" s="1368"/>
      <c r="G257" s="1368"/>
      <c r="H257" s="1368"/>
      <c r="I257" s="423"/>
      <c r="J257" s="420"/>
      <c r="K257" s="420"/>
    </row>
    <row r="258" spans="1:11" x14ac:dyDescent="0.35">
      <c r="A258" s="1" t="s">
        <v>1526</v>
      </c>
      <c r="B258" s="2" t="str">
        <f t="shared" si="8"/>
        <v>NO</v>
      </c>
      <c r="C258" s="390" t="s">
        <v>115</v>
      </c>
      <c r="D258" s="390" t="s">
        <v>773</v>
      </c>
      <c r="E258" s="1368" t="s">
        <v>1132</v>
      </c>
      <c r="F258" s="1368"/>
      <c r="G258" s="1368"/>
      <c r="H258" s="1368"/>
      <c r="I258" s="423"/>
      <c r="J258" s="420"/>
      <c r="K258" s="420"/>
    </row>
    <row r="259" spans="1:11" x14ac:dyDescent="0.35">
      <c r="A259" s="1" t="s">
        <v>1526</v>
      </c>
      <c r="B259" s="2" t="str">
        <f t="shared" si="8"/>
        <v>NO</v>
      </c>
      <c r="C259" s="390" t="s">
        <v>117</v>
      </c>
      <c r="D259" s="390" t="s">
        <v>773</v>
      </c>
      <c r="E259" s="1368" t="s">
        <v>1133</v>
      </c>
      <c r="F259" s="1368"/>
      <c r="G259" s="1368"/>
      <c r="H259" s="1368"/>
      <c r="I259" s="423"/>
      <c r="J259" s="420"/>
      <c r="K259" s="420"/>
    </row>
    <row r="260" spans="1:11" x14ac:dyDescent="0.35">
      <c r="A260" s="1" t="s">
        <v>1526</v>
      </c>
      <c r="B260" s="2" t="str">
        <f t="shared" si="8"/>
        <v>NO</v>
      </c>
      <c r="C260" s="390" t="s">
        <v>119</v>
      </c>
      <c r="D260" s="390" t="s">
        <v>773</v>
      </c>
      <c r="E260" s="1368" t="s">
        <v>1134</v>
      </c>
      <c r="F260" s="1368"/>
      <c r="G260" s="1368"/>
      <c r="H260" s="1368"/>
      <c r="I260" s="423"/>
      <c r="J260" s="420"/>
      <c r="K260" s="420"/>
    </row>
    <row r="261" spans="1:11" x14ac:dyDescent="0.35">
      <c r="A261" s="1" t="s">
        <v>1526</v>
      </c>
      <c r="B261" s="2" t="str">
        <f t="shared" si="8"/>
        <v>NO</v>
      </c>
      <c r="C261" s="390" t="s">
        <v>121</v>
      </c>
      <c r="D261" s="390" t="s">
        <v>773</v>
      </c>
      <c r="E261" s="1368" t="s">
        <v>1135</v>
      </c>
      <c r="F261" s="1368"/>
      <c r="G261" s="1368"/>
      <c r="H261" s="1368"/>
      <c r="I261" s="423"/>
      <c r="J261" s="420"/>
      <c r="K261" s="420"/>
    </row>
    <row r="262" spans="1:11" x14ac:dyDescent="0.35">
      <c r="A262" s="1" t="s">
        <v>1526</v>
      </c>
      <c r="B262" s="2" t="str">
        <f t="shared" si="8"/>
        <v>NO</v>
      </c>
      <c r="C262" s="390" t="s">
        <v>123</v>
      </c>
      <c r="D262" s="390" t="s">
        <v>773</v>
      </c>
      <c r="E262" s="1368" t="s">
        <v>1136</v>
      </c>
      <c r="F262" s="1368"/>
      <c r="G262" s="1368"/>
      <c r="H262" s="1368"/>
      <c r="I262" s="423"/>
      <c r="J262" s="420"/>
      <c r="K262" s="420"/>
    </row>
    <row r="263" spans="1:11" x14ac:dyDescent="0.35">
      <c r="A263" s="1" t="s">
        <v>1526</v>
      </c>
      <c r="B263" s="2" t="str">
        <f t="shared" si="8"/>
        <v>NO</v>
      </c>
      <c r="C263" s="390" t="s">
        <v>125</v>
      </c>
      <c r="D263" s="390" t="s">
        <v>773</v>
      </c>
      <c r="E263" s="1368" t="s">
        <v>1137</v>
      </c>
      <c r="F263" s="1368"/>
      <c r="G263" s="1368"/>
      <c r="H263" s="1368"/>
      <c r="I263" s="423"/>
      <c r="J263" s="420"/>
      <c r="K263" s="420"/>
    </row>
    <row r="264" spans="1:11" x14ac:dyDescent="0.35">
      <c r="A264" s="1" t="s">
        <v>1526</v>
      </c>
      <c r="B264" s="2" t="str">
        <f t="shared" si="8"/>
        <v>NO</v>
      </c>
      <c r="C264" s="390" t="s">
        <v>127</v>
      </c>
      <c r="D264" s="390" t="s">
        <v>773</v>
      </c>
      <c r="E264" s="1368" t="s">
        <v>1138</v>
      </c>
      <c r="F264" s="1368"/>
      <c r="G264" s="1368"/>
      <c r="H264" s="1368"/>
      <c r="I264" s="423"/>
      <c r="J264" s="420"/>
      <c r="K264" s="420"/>
    </row>
    <row r="265" spans="1:11" x14ac:dyDescent="0.35">
      <c r="A265" s="1" t="s">
        <v>1526</v>
      </c>
      <c r="B265" s="2" t="str">
        <f t="shared" si="8"/>
        <v>NO</v>
      </c>
      <c r="C265" s="390" t="s">
        <v>129</v>
      </c>
      <c r="D265" s="390" t="s">
        <v>773</v>
      </c>
      <c r="E265" s="1368" t="s">
        <v>1139</v>
      </c>
      <c r="F265" s="1368"/>
      <c r="G265" s="1368"/>
      <c r="H265" s="1368"/>
      <c r="I265" s="423"/>
      <c r="J265" s="420"/>
      <c r="K265" s="420"/>
    </row>
    <row r="266" spans="1:11" x14ac:dyDescent="0.35">
      <c r="A266" s="1" t="s">
        <v>1526</v>
      </c>
      <c r="B266" s="2" t="str">
        <f t="shared" si="8"/>
        <v>NO</v>
      </c>
      <c r="C266" s="390" t="s">
        <v>131</v>
      </c>
      <c r="D266" s="390" t="s">
        <v>773</v>
      </c>
      <c r="E266" s="1368" t="s">
        <v>1140</v>
      </c>
      <c r="F266" s="1368"/>
      <c r="G266" s="1368"/>
      <c r="H266" s="1368"/>
      <c r="I266" s="423"/>
      <c r="J266" s="420"/>
      <c r="K266" s="420"/>
    </row>
    <row r="267" spans="1:11" x14ac:dyDescent="0.35">
      <c r="A267" s="1" t="s">
        <v>1526</v>
      </c>
      <c r="B267" s="2" t="str">
        <f t="shared" si="8"/>
        <v>NO</v>
      </c>
      <c r="C267" s="390" t="s">
        <v>133</v>
      </c>
      <c r="D267" s="390" t="s">
        <v>773</v>
      </c>
      <c r="E267" s="1368" t="s">
        <v>1141</v>
      </c>
      <c r="F267" s="1368"/>
      <c r="G267" s="1368"/>
      <c r="H267" s="1368"/>
      <c r="I267" s="423"/>
      <c r="J267" s="420"/>
      <c r="K267" s="420"/>
    </row>
    <row r="268" spans="1:11" x14ac:dyDescent="0.35">
      <c r="A268" s="1" t="s">
        <v>1526</v>
      </c>
      <c r="B268" s="2" t="str">
        <f t="shared" si="8"/>
        <v>NO</v>
      </c>
      <c r="C268" s="390" t="s">
        <v>135</v>
      </c>
      <c r="D268" s="390" t="s">
        <v>773</v>
      </c>
      <c r="E268" s="1368" t="s">
        <v>1142</v>
      </c>
      <c r="F268" s="1368"/>
      <c r="G268" s="1368"/>
      <c r="H268" s="1368"/>
      <c r="I268" s="423"/>
      <c r="J268" s="420"/>
      <c r="K268" s="420"/>
    </row>
    <row r="269" spans="1:11" x14ac:dyDescent="0.35">
      <c r="A269" s="1" t="s">
        <v>1526</v>
      </c>
      <c r="B269" s="2" t="str">
        <f t="shared" si="8"/>
        <v>NO</v>
      </c>
      <c r="C269" s="390" t="s">
        <v>1046</v>
      </c>
      <c r="D269" s="390" t="s">
        <v>773</v>
      </c>
      <c r="E269" s="1368" t="s">
        <v>1047</v>
      </c>
      <c r="F269" s="1368"/>
      <c r="G269" s="1368"/>
      <c r="H269" s="1368"/>
      <c r="I269" s="423"/>
      <c r="J269" s="420"/>
      <c r="K269" s="420"/>
    </row>
    <row r="270" spans="1:11" x14ac:dyDescent="0.35">
      <c r="A270" s="1" t="s">
        <v>1526</v>
      </c>
      <c r="B270" s="2" t="str">
        <f t="shared" si="8"/>
        <v>NO</v>
      </c>
      <c r="C270" s="390" t="s">
        <v>1048</v>
      </c>
      <c r="D270" s="390" t="s">
        <v>773</v>
      </c>
      <c r="E270" s="1368" t="s">
        <v>1049</v>
      </c>
      <c r="F270" s="1368"/>
      <c r="G270" s="1368"/>
      <c r="H270" s="1368"/>
      <c r="I270" s="423"/>
      <c r="J270" s="420"/>
      <c r="K270" s="420"/>
    </row>
    <row r="271" spans="1:11" x14ac:dyDescent="0.35">
      <c r="A271" s="1" t="s">
        <v>1526</v>
      </c>
      <c r="B271" s="2" t="str">
        <f t="shared" si="8"/>
        <v>NO</v>
      </c>
      <c r="C271" s="390" t="s">
        <v>1050</v>
      </c>
      <c r="D271" s="390" t="s">
        <v>773</v>
      </c>
      <c r="E271" s="1368" t="s">
        <v>1051</v>
      </c>
      <c r="F271" s="1368"/>
      <c r="G271" s="1368"/>
      <c r="H271" s="1368"/>
      <c r="I271" s="423"/>
      <c r="J271" s="420"/>
      <c r="K271" s="420"/>
    </row>
    <row r="272" spans="1:11" x14ac:dyDescent="0.35">
      <c r="A272" s="1" t="s">
        <v>1526</v>
      </c>
      <c r="B272" s="2" t="str">
        <f t="shared" si="8"/>
        <v>NO</v>
      </c>
      <c r="C272" s="390" t="s">
        <v>137</v>
      </c>
      <c r="D272" s="390" t="s">
        <v>773</v>
      </c>
      <c r="E272" s="1368" t="s">
        <v>1143</v>
      </c>
      <c r="F272" s="1368"/>
      <c r="G272" s="1368"/>
      <c r="H272" s="1368"/>
      <c r="I272" s="423"/>
      <c r="J272" s="420"/>
      <c r="K272" s="420"/>
    </row>
    <row r="273" spans="1:11" x14ac:dyDescent="0.35">
      <c r="A273" s="1" t="s">
        <v>1526</v>
      </c>
      <c r="B273" s="2" t="str">
        <f t="shared" si="8"/>
        <v>NO</v>
      </c>
      <c r="C273" s="390" t="s">
        <v>139</v>
      </c>
      <c r="D273" s="390" t="s">
        <v>773</v>
      </c>
      <c r="E273" s="1368" t="s">
        <v>1144</v>
      </c>
      <c r="F273" s="1368"/>
      <c r="G273" s="1368"/>
      <c r="H273" s="1368"/>
      <c r="I273" s="423"/>
      <c r="J273" s="420"/>
      <c r="K273" s="420"/>
    </row>
    <row r="274" spans="1:11" x14ac:dyDescent="0.35">
      <c r="A274" s="1" t="s">
        <v>1526</v>
      </c>
      <c r="B274" s="2" t="str">
        <f t="shared" si="8"/>
        <v>NO</v>
      </c>
      <c r="C274" s="390" t="s">
        <v>1052</v>
      </c>
      <c r="D274" s="390" t="s">
        <v>773</v>
      </c>
      <c r="E274" s="1368" t="s">
        <v>1053</v>
      </c>
      <c r="F274" s="1368"/>
      <c r="G274" s="1368"/>
      <c r="H274" s="1368"/>
      <c r="I274" s="423"/>
      <c r="J274" s="420"/>
      <c r="K274" s="420"/>
    </row>
    <row r="275" spans="1:11" x14ac:dyDescent="0.35">
      <c r="A275" s="1" t="s">
        <v>1526</v>
      </c>
      <c r="B275" s="2" t="str">
        <f t="shared" si="8"/>
        <v>NO</v>
      </c>
      <c r="C275" s="390" t="s">
        <v>858</v>
      </c>
      <c r="D275" s="390" t="s">
        <v>773</v>
      </c>
      <c r="E275" s="1368" t="s">
        <v>1426</v>
      </c>
      <c r="F275" s="1368"/>
      <c r="G275" s="1368"/>
      <c r="H275" s="1368"/>
      <c r="I275" s="423"/>
      <c r="J275" s="420"/>
      <c r="K275" s="420"/>
    </row>
    <row r="276" spans="1:11" x14ac:dyDescent="0.35">
      <c r="A276" s="1" t="s">
        <v>1526</v>
      </c>
      <c r="B276" s="2" t="str">
        <f t="shared" si="8"/>
        <v>NO</v>
      </c>
      <c r="C276" s="390" t="s">
        <v>190</v>
      </c>
      <c r="D276" s="390" t="s">
        <v>773</v>
      </c>
      <c r="E276" s="1368" t="s">
        <v>1427</v>
      </c>
      <c r="F276" s="1368"/>
      <c r="G276" s="1368"/>
      <c r="H276" s="1368"/>
      <c r="I276" s="423"/>
      <c r="J276" s="420"/>
      <c r="K276" s="420"/>
    </row>
    <row r="277" spans="1:11" x14ac:dyDescent="0.35">
      <c r="A277" s="1" t="s">
        <v>1526</v>
      </c>
      <c r="B277" s="2" t="str">
        <f t="shared" si="8"/>
        <v>NO</v>
      </c>
      <c r="C277" s="390" t="s">
        <v>192</v>
      </c>
      <c r="D277" s="390" t="s">
        <v>773</v>
      </c>
      <c r="E277" s="1368" t="s">
        <v>1428</v>
      </c>
      <c r="F277" s="1368"/>
      <c r="G277" s="1368"/>
      <c r="H277" s="1368"/>
      <c r="I277" s="423"/>
      <c r="J277" s="420"/>
      <c r="K277" s="420"/>
    </row>
    <row r="278" spans="1:11" x14ac:dyDescent="0.35">
      <c r="A278" s="1" t="s">
        <v>1526</v>
      </c>
      <c r="B278" s="2" t="str">
        <f t="shared" si="8"/>
        <v>NO</v>
      </c>
      <c r="C278" s="390" t="s">
        <v>194</v>
      </c>
      <c r="D278" s="390" t="s">
        <v>773</v>
      </c>
      <c r="E278" s="1368" t="s">
        <v>1429</v>
      </c>
      <c r="F278" s="1368"/>
      <c r="G278" s="1368"/>
      <c r="H278" s="1368"/>
      <c r="I278" s="423"/>
      <c r="J278" s="420"/>
      <c r="K278" s="420"/>
    </row>
    <row r="279" spans="1:11" x14ac:dyDescent="0.35">
      <c r="A279" s="1" t="s">
        <v>1526</v>
      </c>
      <c r="B279" s="2" t="str">
        <f t="shared" si="8"/>
        <v>NO</v>
      </c>
      <c r="C279" s="390" t="s">
        <v>196</v>
      </c>
      <c r="D279" s="390" t="s">
        <v>773</v>
      </c>
      <c r="E279" s="1368" t="s">
        <v>1158</v>
      </c>
      <c r="F279" s="1368"/>
      <c r="G279" s="1368"/>
      <c r="H279" s="1368"/>
      <c r="I279" s="423"/>
      <c r="J279" s="420"/>
      <c r="K279" s="420"/>
    </row>
    <row r="280" spans="1:11" x14ac:dyDescent="0.35">
      <c r="A280" s="1" t="s">
        <v>1526</v>
      </c>
      <c r="B280" s="2" t="str">
        <f t="shared" si="8"/>
        <v>NO</v>
      </c>
      <c r="C280" s="390" t="s">
        <v>198</v>
      </c>
      <c r="D280" s="390" t="s">
        <v>773</v>
      </c>
      <c r="E280" s="1368" t="s">
        <v>1159</v>
      </c>
      <c r="F280" s="1368"/>
      <c r="G280" s="1368"/>
      <c r="H280" s="1368"/>
      <c r="I280" s="423"/>
      <c r="J280" s="420"/>
      <c r="K280" s="420"/>
    </row>
    <row r="281" spans="1:11" x14ac:dyDescent="0.35">
      <c r="A281" s="1" t="s">
        <v>1526</v>
      </c>
      <c r="B281" s="2" t="str">
        <f t="shared" si="8"/>
        <v>NO</v>
      </c>
      <c r="C281" s="390" t="s">
        <v>200</v>
      </c>
      <c r="D281" s="390" t="s">
        <v>773</v>
      </c>
      <c r="E281" s="1368" t="s">
        <v>1430</v>
      </c>
      <c r="F281" s="1368"/>
      <c r="G281" s="1368"/>
      <c r="H281" s="1368"/>
      <c r="I281" s="423"/>
      <c r="J281" s="420"/>
      <c r="K281" s="420"/>
    </row>
    <row r="282" spans="1:11" s="392" customFormat="1" x14ac:dyDescent="0.35">
      <c r="B282" s="2" t="str">
        <f>IF(SUM(I$254:K$281)&gt;0,"SI","NO")</f>
        <v>NO</v>
      </c>
      <c r="C282" s="396"/>
      <c r="D282" s="397"/>
      <c r="E282" s="398"/>
      <c r="F282" s="398"/>
      <c r="G282" s="398"/>
      <c r="H282" s="398"/>
      <c r="I282" s="399" t="s">
        <v>1339</v>
      </c>
      <c r="J282" s="419">
        <f>SUMIF($D254:$D281,"+",J254:J281)-SUMIF($D254:$D281,"-",J254:J281)</f>
        <v>0</v>
      </c>
      <c r="K282" s="419">
        <f>SUMIF($D254:$D281,"+",K254:K281)-SUMIF($D254:$D281,"-",K254:K281)</f>
        <v>0</v>
      </c>
    </row>
    <row r="283" spans="1:11" x14ac:dyDescent="0.35">
      <c r="B283" s="2" t="str">
        <f>IF(SUM(I$254:K$281)&gt;0,"SI","NO")</f>
        <v>NO</v>
      </c>
    </row>
    <row r="284" spans="1:11" s="411" customFormat="1" x14ac:dyDescent="0.35">
      <c r="B284" s="2" t="str">
        <f>IF(SUM(I$285:K$286)&gt;0,"SI","NO")</f>
        <v>NO</v>
      </c>
      <c r="C284" s="400" t="s">
        <v>1352</v>
      </c>
      <c r="D284" s="400"/>
      <c r="E284" s="1372" t="s">
        <v>1431</v>
      </c>
      <c r="F284" s="1373"/>
      <c r="G284" s="1373"/>
      <c r="H284" s="1374"/>
      <c r="I284" s="401" t="s">
        <v>1468</v>
      </c>
      <c r="J284" s="1372" t="s">
        <v>1469</v>
      </c>
      <c r="K284" s="1373"/>
    </row>
    <row r="285" spans="1:11" x14ac:dyDescent="0.35">
      <c r="A285" s="1" t="s">
        <v>1525</v>
      </c>
      <c r="B285" s="2" t="str">
        <f>IF(SUM(I285:K285)&gt;0,"SI","NO")</f>
        <v>NO</v>
      </c>
      <c r="C285" s="390"/>
      <c r="D285" s="390" t="s">
        <v>773</v>
      </c>
      <c r="E285" s="1375" t="s">
        <v>1432</v>
      </c>
      <c r="F285" s="1376"/>
      <c r="G285" s="1376"/>
      <c r="H285" s="1389"/>
      <c r="I285" s="420">
        <v>0</v>
      </c>
      <c r="J285" s="1377">
        <v>0</v>
      </c>
      <c r="K285" s="1378"/>
    </row>
    <row r="286" spans="1:11" x14ac:dyDescent="0.35">
      <c r="A286" s="1" t="s">
        <v>1524</v>
      </c>
      <c r="B286" s="2" t="str">
        <f>IF(SUM(I286:K286)&gt;0,"SI","NO")</f>
        <v>NO</v>
      </c>
      <c r="C286" s="390"/>
      <c r="D286" s="390" t="s">
        <v>773</v>
      </c>
      <c r="E286" s="1375" t="s">
        <v>1433</v>
      </c>
      <c r="F286" s="1376"/>
      <c r="G286" s="1376"/>
      <c r="H286" s="1389"/>
      <c r="I286" s="420">
        <v>0</v>
      </c>
      <c r="J286" s="1377">
        <v>0</v>
      </c>
      <c r="K286" s="1378"/>
    </row>
    <row r="287" spans="1:11" s="392" customFormat="1" x14ac:dyDescent="0.35">
      <c r="B287" s="2" t="str">
        <f>IF(SUM(I$285:K$286)&gt;0,"SI","NO")</f>
        <v>NO</v>
      </c>
      <c r="C287" s="1386" t="s">
        <v>1434</v>
      </c>
      <c r="D287" s="1387"/>
      <c r="E287" s="1387"/>
      <c r="F287" s="1387"/>
      <c r="G287" s="1387"/>
      <c r="H287" s="1388"/>
      <c r="I287" s="419">
        <f>SUMIF($D285:$D286,"+",I285:I286)-SUMIF($D285:$D286,"-",I285:I286)</f>
        <v>0</v>
      </c>
      <c r="J287" s="1379">
        <f>SUMIF($D285:$D286,"+",J285:K286)-SUMIF($D285:$D286,"-",J285:K286)</f>
        <v>0</v>
      </c>
      <c r="K287" s="1380"/>
    </row>
    <row r="288" spans="1:11" x14ac:dyDescent="0.35">
      <c r="B288" s="2" t="str">
        <f>IF(SUM(I$285:K$286)&gt;0,"SI","NO")</f>
        <v>NO</v>
      </c>
    </row>
    <row r="289" spans="1:11" x14ac:dyDescent="0.35">
      <c r="B289" s="2" t="str">
        <f>IF(SUM(I$291:K$303)&gt;0,"SI","NO")</f>
        <v>NO</v>
      </c>
      <c r="C289" s="1369" t="s">
        <v>1435</v>
      </c>
      <c r="D289" s="1370"/>
      <c r="E289" s="1370"/>
      <c r="F289" s="1370"/>
      <c r="G289" s="1370"/>
      <c r="H289" s="1370"/>
      <c r="I289" s="1370"/>
      <c r="J289" s="1370"/>
      <c r="K289" s="1371"/>
    </row>
    <row r="290" spans="1:11" s="402" customFormat="1" ht="43.5" x14ac:dyDescent="0.35">
      <c r="B290" s="2" t="str">
        <f>IF(SUM(I$291:K$303)&gt;0,"SI","NO")</f>
        <v>NO</v>
      </c>
      <c r="C290" s="400" t="s">
        <v>1352</v>
      </c>
      <c r="D290" s="400"/>
      <c r="E290" s="1381" t="s">
        <v>1436</v>
      </c>
      <c r="F290" s="1382"/>
      <c r="G290" s="1382"/>
      <c r="H290" s="1383"/>
      <c r="I290" s="401" t="s">
        <v>1353</v>
      </c>
      <c r="J290" s="401" t="s">
        <v>1437</v>
      </c>
      <c r="K290" s="401" t="s">
        <v>1038</v>
      </c>
    </row>
    <row r="291" spans="1:11" x14ac:dyDescent="0.35">
      <c r="A291" s="1" t="s">
        <v>1511</v>
      </c>
      <c r="B291" s="2" t="str">
        <f t="shared" ref="B291:B303" si="9">IF(SUM(I291:K291)&gt;0,"SI","NO")</f>
        <v>NO</v>
      </c>
      <c r="C291" s="390" t="s">
        <v>1527</v>
      </c>
      <c r="D291" s="390" t="s">
        <v>773</v>
      </c>
      <c r="E291" s="1368" t="s">
        <v>1438</v>
      </c>
      <c r="F291" s="1368"/>
      <c r="G291" s="1368"/>
      <c r="H291" s="1368"/>
      <c r="I291" s="423"/>
      <c r="J291" s="420"/>
      <c r="K291" s="420"/>
    </row>
    <row r="292" spans="1:11" x14ac:dyDescent="0.35">
      <c r="A292" s="1" t="s">
        <v>1511</v>
      </c>
      <c r="B292" s="2" t="str">
        <f t="shared" si="9"/>
        <v>NO</v>
      </c>
      <c r="C292" s="390" t="s">
        <v>1528</v>
      </c>
      <c r="D292" s="390" t="s">
        <v>773</v>
      </c>
      <c r="E292" s="1368" t="s">
        <v>1439</v>
      </c>
      <c r="F292" s="1368"/>
      <c r="G292" s="1368"/>
      <c r="H292" s="1368"/>
      <c r="I292" s="423"/>
      <c r="J292" s="420"/>
      <c r="K292" s="420"/>
    </row>
    <row r="293" spans="1:11" x14ac:dyDescent="0.35">
      <c r="A293" s="1" t="s">
        <v>1511</v>
      </c>
      <c r="B293" s="2" t="str">
        <f t="shared" si="9"/>
        <v>NO</v>
      </c>
      <c r="C293" s="390" t="s">
        <v>1529</v>
      </c>
      <c r="D293" s="390" t="s">
        <v>773</v>
      </c>
      <c r="E293" s="1368" t="s">
        <v>1440</v>
      </c>
      <c r="F293" s="1368"/>
      <c r="G293" s="1368"/>
      <c r="H293" s="1368"/>
      <c r="I293" s="423"/>
      <c r="J293" s="420"/>
      <c r="K293" s="420"/>
    </row>
    <row r="294" spans="1:11" x14ac:dyDescent="0.35">
      <c r="A294" s="1" t="s">
        <v>1511</v>
      </c>
      <c r="B294" s="2" t="str">
        <f t="shared" si="9"/>
        <v>NO</v>
      </c>
      <c r="C294" s="390" t="s">
        <v>1530</v>
      </c>
      <c r="D294" s="390" t="s">
        <v>773</v>
      </c>
      <c r="E294" s="1368" t="s">
        <v>1441</v>
      </c>
      <c r="F294" s="1368"/>
      <c r="G294" s="1368"/>
      <c r="H294" s="1368"/>
      <c r="I294" s="423"/>
      <c r="J294" s="420"/>
      <c r="K294" s="420"/>
    </row>
    <row r="295" spans="1:11" x14ac:dyDescent="0.35">
      <c r="A295" s="1" t="s">
        <v>1511</v>
      </c>
      <c r="B295" s="2" t="str">
        <f t="shared" si="9"/>
        <v>NO</v>
      </c>
      <c r="C295" s="390" t="s">
        <v>1458</v>
      </c>
      <c r="D295" s="390" t="s">
        <v>773</v>
      </c>
      <c r="E295" s="1368" t="s">
        <v>1442</v>
      </c>
      <c r="F295" s="1368"/>
      <c r="G295" s="1368"/>
      <c r="H295" s="1368"/>
      <c r="I295" s="423"/>
      <c r="J295" s="420"/>
      <c r="K295" s="420"/>
    </row>
    <row r="296" spans="1:11" x14ac:dyDescent="0.35">
      <c r="A296" s="1" t="s">
        <v>1511</v>
      </c>
      <c r="B296" s="2" t="str">
        <f t="shared" si="9"/>
        <v>NO</v>
      </c>
      <c r="C296" s="390" t="s">
        <v>621</v>
      </c>
      <c r="D296" s="390" t="s">
        <v>773</v>
      </c>
      <c r="E296" s="1368" t="s">
        <v>1443</v>
      </c>
      <c r="F296" s="1368"/>
      <c r="G296" s="1368"/>
      <c r="H296" s="1368"/>
      <c r="I296" s="423"/>
      <c r="J296" s="420"/>
      <c r="K296" s="420"/>
    </row>
    <row r="297" spans="1:11" x14ac:dyDescent="0.35">
      <c r="A297" s="1" t="s">
        <v>1511</v>
      </c>
      <c r="B297" s="2" t="str">
        <f t="shared" si="9"/>
        <v>NO</v>
      </c>
      <c r="C297" s="390" t="s">
        <v>1363</v>
      </c>
      <c r="D297" s="390" t="s">
        <v>773</v>
      </c>
      <c r="E297" s="1368" t="s">
        <v>1444</v>
      </c>
      <c r="F297" s="1368"/>
      <c r="G297" s="1368"/>
      <c r="H297" s="1368"/>
      <c r="I297" s="423"/>
      <c r="J297" s="420"/>
      <c r="K297" s="420"/>
    </row>
    <row r="298" spans="1:11" x14ac:dyDescent="0.35">
      <c r="A298" s="1" t="s">
        <v>1511</v>
      </c>
      <c r="B298" s="2" t="str">
        <f t="shared" si="9"/>
        <v>NO</v>
      </c>
      <c r="C298" s="390" t="s">
        <v>1365</v>
      </c>
      <c r="D298" s="390" t="s">
        <v>773</v>
      </c>
      <c r="E298" s="1368" t="s">
        <v>1445</v>
      </c>
      <c r="F298" s="1368"/>
      <c r="G298" s="1368"/>
      <c r="H298" s="1368"/>
      <c r="I298" s="423"/>
      <c r="J298" s="420"/>
      <c r="K298" s="420"/>
    </row>
    <row r="299" spans="1:11" x14ac:dyDescent="0.35">
      <c r="A299" s="1" t="s">
        <v>1511</v>
      </c>
      <c r="B299" s="2" t="str">
        <f t="shared" si="9"/>
        <v>NO</v>
      </c>
      <c r="C299" s="390" t="s">
        <v>623</v>
      </c>
      <c r="D299" s="390" t="s">
        <v>773</v>
      </c>
      <c r="E299" s="1368" t="s">
        <v>1446</v>
      </c>
      <c r="F299" s="1368"/>
      <c r="G299" s="1368"/>
      <c r="H299" s="1368"/>
      <c r="I299" s="423"/>
      <c r="J299" s="420"/>
      <c r="K299" s="420"/>
    </row>
    <row r="300" spans="1:11" x14ac:dyDescent="0.35">
      <c r="A300" s="1" t="s">
        <v>1511</v>
      </c>
      <c r="B300" s="2" t="str">
        <f t="shared" si="9"/>
        <v>NO</v>
      </c>
      <c r="C300" s="390" t="s">
        <v>624</v>
      </c>
      <c r="D300" s="390" t="s">
        <v>773</v>
      </c>
      <c r="E300" s="1368" t="s">
        <v>1447</v>
      </c>
      <c r="F300" s="1368"/>
      <c r="G300" s="1368"/>
      <c r="H300" s="1368"/>
      <c r="I300" s="423"/>
      <c r="J300" s="420"/>
      <c r="K300" s="420"/>
    </row>
    <row r="301" spans="1:11" x14ac:dyDescent="0.35">
      <c r="A301" s="1" t="s">
        <v>1511</v>
      </c>
      <c r="B301" s="2" t="str">
        <f t="shared" si="9"/>
        <v>NO</v>
      </c>
      <c r="C301" s="390" t="s">
        <v>1459</v>
      </c>
      <c r="D301" s="390" t="s">
        <v>773</v>
      </c>
      <c r="E301" s="1368" t="s">
        <v>1439</v>
      </c>
      <c r="F301" s="1368"/>
      <c r="G301" s="1368"/>
      <c r="H301" s="1368"/>
      <c r="I301" s="423"/>
      <c r="J301" s="420"/>
      <c r="K301" s="420"/>
    </row>
    <row r="302" spans="1:11" x14ac:dyDescent="0.35">
      <c r="A302" s="1" t="s">
        <v>1511</v>
      </c>
      <c r="B302" s="2" t="str">
        <f t="shared" si="9"/>
        <v>NO</v>
      </c>
      <c r="C302" s="390" t="s">
        <v>625</v>
      </c>
      <c r="D302" s="390" t="s">
        <v>773</v>
      </c>
      <c r="E302" s="1368" t="s">
        <v>1448</v>
      </c>
      <c r="F302" s="1368"/>
      <c r="G302" s="1368"/>
      <c r="H302" s="1368"/>
      <c r="I302" s="423"/>
      <c r="J302" s="420"/>
      <c r="K302" s="420"/>
    </row>
    <row r="303" spans="1:11" x14ac:dyDescent="0.35">
      <c r="A303" s="1" t="s">
        <v>1511</v>
      </c>
      <c r="B303" s="2" t="str">
        <f t="shared" si="9"/>
        <v>NO</v>
      </c>
      <c r="C303" s="390" t="s">
        <v>616</v>
      </c>
      <c r="D303" s="390" t="s">
        <v>773</v>
      </c>
      <c r="E303" s="1368" t="s">
        <v>1449</v>
      </c>
      <c r="F303" s="1368"/>
      <c r="G303" s="1368"/>
      <c r="H303" s="1368"/>
      <c r="I303" s="423"/>
      <c r="J303" s="420"/>
      <c r="K303" s="420"/>
    </row>
    <row r="304" spans="1:11" s="392" customFormat="1" x14ac:dyDescent="0.35">
      <c r="B304" s="2" t="str">
        <f>IF(SUM(I$291:K$303)&gt;0,"SI","NO")</f>
        <v>NO</v>
      </c>
      <c r="C304" s="396"/>
      <c r="D304" s="397"/>
      <c r="E304" s="398"/>
      <c r="F304" s="398"/>
      <c r="G304" s="398"/>
      <c r="H304" s="398"/>
      <c r="I304" s="399" t="s">
        <v>1339</v>
      </c>
      <c r="J304" s="419">
        <f>SUMIF($D291:$D303,"+",J291:J303)-SUMIF($D291:$D303,"-",J291:J303)</f>
        <v>0</v>
      </c>
      <c r="K304" s="419">
        <f>SUMIF($D291:$D303,"+",K291:K303)-SUMIF($D291:$D303,"-",K291:K303)</f>
        <v>0</v>
      </c>
    </row>
    <row r="306" spans="2:11" ht="29.5" customHeight="1" x14ac:dyDescent="0.35">
      <c r="C306" s="427" t="s">
        <v>1450</v>
      </c>
      <c r="D306" s="425"/>
      <c r="E306" s="426"/>
      <c r="F306" s="426"/>
      <c r="G306" s="426"/>
      <c r="H306" s="426"/>
      <c r="I306" s="426"/>
      <c r="J306" s="426"/>
      <c r="K306" s="426"/>
    </row>
    <row r="311" spans="2:11" s="392" customFormat="1" x14ac:dyDescent="0.35">
      <c r="B311" s="424"/>
      <c r="C311" s="412"/>
      <c r="D311" s="413"/>
      <c r="E311" s="392" t="s">
        <v>1350</v>
      </c>
      <c r="G311" s="392" t="s">
        <v>1351</v>
      </c>
    </row>
    <row r="312" spans="2:11" s="392" customFormat="1" x14ac:dyDescent="0.35">
      <c r="B312" s="424"/>
      <c r="C312" s="412"/>
      <c r="D312" s="413"/>
      <c r="E312" s="392" t="s">
        <v>1531</v>
      </c>
      <c r="G312" s="392" t="s">
        <v>1532</v>
      </c>
    </row>
  </sheetData>
  <mergeCells count="236">
    <mergeCell ref="E83:H83"/>
    <mergeCell ref="E84:H84"/>
    <mergeCell ref="E109:H109"/>
    <mergeCell ref="E110:H110"/>
    <mergeCell ref="E99:H99"/>
    <mergeCell ref="E100:H100"/>
    <mergeCell ref="E101:H101"/>
    <mergeCell ref="E102:H102"/>
    <mergeCell ref="E103:H103"/>
    <mergeCell ref="E104:H104"/>
    <mergeCell ref="E85:H85"/>
    <mergeCell ref="J71:K71"/>
    <mergeCell ref="J72:K72"/>
    <mergeCell ref="J73:K73"/>
    <mergeCell ref="J74:K74"/>
    <mergeCell ref="C82:K82"/>
    <mergeCell ref="C80:K80"/>
    <mergeCell ref="E72:H72"/>
    <mergeCell ref="E73:H73"/>
    <mergeCell ref="G74:H74"/>
    <mergeCell ref="J66:K66"/>
    <mergeCell ref="J67:K67"/>
    <mergeCell ref="J68:K68"/>
    <mergeCell ref="J69:K69"/>
    <mergeCell ref="J70:K70"/>
    <mergeCell ref="E293:H293"/>
    <mergeCell ref="E294:H294"/>
    <mergeCell ref="E295:H295"/>
    <mergeCell ref="E296:H296"/>
    <mergeCell ref="C287:H287"/>
    <mergeCell ref="C289:K289"/>
    <mergeCell ref="E284:H284"/>
    <mergeCell ref="E285:H285"/>
    <mergeCell ref="E286:H286"/>
    <mergeCell ref="J284:K284"/>
    <mergeCell ref="E281:H281"/>
    <mergeCell ref="E271:H271"/>
    <mergeCell ref="E272:H272"/>
    <mergeCell ref="E273:H273"/>
    <mergeCell ref="E274:H274"/>
    <mergeCell ref="E269:H269"/>
    <mergeCell ref="E270:H270"/>
    <mergeCell ref="E259:H259"/>
    <mergeCell ref="E260:H260"/>
    <mergeCell ref="E66:H66"/>
    <mergeCell ref="E67:H67"/>
    <mergeCell ref="E68:H68"/>
    <mergeCell ref="E69:H69"/>
    <mergeCell ref="E70:H70"/>
    <mergeCell ref="E71:H71"/>
    <mergeCell ref="I247:K247"/>
    <mergeCell ref="E253:H253"/>
    <mergeCell ref="E254:H254"/>
    <mergeCell ref="E93:H93"/>
    <mergeCell ref="E94:H94"/>
    <mergeCell ref="E95:H95"/>
    <mergeCell ref="E96:H96"/>
    <mergeCell ref="E97:H97"/>
    <mergeCell ref="E98:H98"/>
    <mergeCell ref="E88:H88"/>
    <mergeCell ref="E89:H89"/>
    <mergeCell ref="E90:H90"/>
    <mergeCell ref="E91:H91"/>
    <mergeCell ref="E92:H92"/>
    <mergeCell ref="E105:H105"/>
    <mergeCell ref="E106:H106"/>
    <mergeCell ref="E107:H107"/>
    <mergeCell ref="E108:H108"/>
    <mergeCell ref="E255:H255"/>
    <mergeCell ref="E256:H256"/>
    <mergeCell ref="G220:H220"/>
    <mergeCell ref="I223:K223"/>
    <mergeCell ref="I234:K234"/>
    <mergeCell ref="E240:H240"/>
    <mergeCell ref="E241:H241"/>
    <mergeCell ref="C246:K246"/>
    <mergeCell ref="E247:G247"/>
    <mergeCell ref="E248:G248"/>
    <mergeCell ref="E249:G249"/>
    <mergeCell ref="C252:K252"/>
    <mergeCell ref="C239:K239"/>
    <mergeCell ref="E242:H242"/>
    <mergeCell ref="E243:H243"/>
    <mergeCell ref="E234:G234"/>
    <mergeCell ref="E235:G235"/>
    <mergeCell ref="E236:G236"/>
    <mergeCell ref="E229:G229"/>
    <mergeCell ref="E230:G230"/>
    <mergeCell ref="E227:G227"/>
    <mergeCell ref="E228:G228"/>
    <mergeCell ref="C222:K222"/>
    <mergeCell ref="J285:K285"/>
    <mergeCell ref="J286:K286"/>
    <mergeCell ref="J287:K287"/>
    <mergeCell ref="E290:H290"/>
    <mergeCell ref="E291:H291"/>
    <mergeCell ref="E292:H292"/>
    <mergeCell ref="E275:H275"/>
    <mergeCell ref="E276:H276"/>
    <mergeCell ref="E277:H277"/>
    <mergeCell ref="E278:H278"/>
    <mergeCell ref="E279:H279"/>
    <mergeCell ref="E280:H280"/>
    <mergeCell ref="E303:H303"/>
    <mergeCell ref="E86:H86"/>
    <mergeCell ref="E87:H87"/>
    <mergeCell ref="E297:H297"/>
    <mergeCell ref="E298:H298"/>
    <mergeCell ref="E299:H299"/>
    <mergeCell ref="E300:H300"/>
    <mergeCell ref="E301:H301"/>
    <mergeCell ref="E302:H302"/>
    <mergeCell ref="E263:H263"/>
    <mergeCell ref="E264:H264"/>
    <mergeCell ref="E265:H265"/>
    <mergeCell ref="E266:H266"/>
    <mergeCell ref="E267:H267"/>
    <mergeCell ref="E268:H268"/>
    <mergeCell ref="E261:H261"/>
    <mergeCell ref="E262:H262"/>
    <mergeCell ref="E257:H257"/>
    <mergeCell ref="E258:H258"/>
    <mergeCell ref="C233:K233"/>
    <mergeCell ref="E223:G223"/>
    <mergeCell ref="E224:G224"/>
    <mergeCell ref="E225:G225"/>
    <mergeCell ref="E226:G226"/>
    <mergeCell ref="E119:H119"/>
    <mergeCell ref="E120:H120"/>
    <mergeCell ref="E121:H121"/>
    <mergeCell ref="E122:H122"/>
    <mergeCell ref="E111:H111"/>
    <mergeCell ref="E112:H112"/>
    <mergeCell ref="E113:H113"/>
    <mergeCell ref="E114:H114"/>
    <mergeCell ref="E115:H115"/>
    <mergeCell ref="E116:H116"/>
    <mergeCell ref="E117:H117"/>
    <mergeCell ref="E118:H118"/>
    <mergeCell ref="E129:H129"/>
    <mergeCell ref="E130:H130"/>
    <mergeCell ref="E131:H131"/>
    <mergeCell ref="E132:H132"/>
    <mergeCell ref="E133:H133"/>
    <mergeCell ref="E134:H134"/>
    <mergeCell ref="E123:H123"/>
    <mergeCell ref="E124:H124"/>
    <mergeCell ref="E125:H125"/>
    <mergeCell ref="E126:H126"/>
    <mergeCell ref="E127:H127"/>
    <mergeCell ref="E128:H128"/>
    <mergeCell ref="E141:H141"/>
    <mergeCell ref="E142:H142"/>
    <mergeCell ref="E143:H143"/>
    <mergeCell ref="E144:H144"/>
    <mergeCell ref="E145:H145"/>
    <mergeCell ref="E146:H146"/>
    <mergeCell ref="E135:H135"/>
    <mergeCell ref="E136:H136"/>
    <mergeCell ref="E137:H137"/>
    <mergeCell ref="E138:H138"/>
    <mergeCell ref="E139:H139"/>
    <mergeCell ref="E140:H140"/>
    <mergeCell ref="E153:H153"/>
    <mergeCell ref="E154:H154"/>
    <mergeCell ref="E155:H155"/>
    <mergeCell ref="E156:H156"/>
    <mergeCell ref="E157:H157"/>
    <mergeCell ref="E158:H158"/>
    <mergeCell ref="E147:H147"/>
    <mergeCell ref="E148:H148"/>
    <mergeCell ref="E149:H149"/>
    <mergeCell ref="E150:H150"/>
    <mergeCell ref="E151:H151"/>
    <mergeCell ref="E152:H152"/>
    <mergeCell ref="E165:H165"/>
    <mergeCell ref="E166:H166"/>
    <mergeCell ref="E167:H167"/>
    <mergeCell ref="E168:H168"/>
    <mergeCell ref="E169:H169"/>
    <mergeCell ref="E170:H170"/>
    <mergeCell ref="E159:H159"/>
    <mergeCell ref="E160:H160"/>
    <mergeCell ref="E161:H161"/>
    <mergeCell ref="E162:H162"/>
    <mergeCell ref="E163:H163"/>
    <mergeCell ref="E164:H164"/>
    <mergeCell ref="E180:H180"/>
    <mergeCell ref="E181:H181"/>
    <mergeCell ref="E182:H182"/>
    <mergeCell ref="E183:H183"/>
    <mergeCell ref="E184:H184"/>
    <mergeCell ref="E185:H185"/>
    <mergeCell ref="E171:H171"/>
    <mergeCell ref="E175:H175"/>
    <mergeCell ref="E176:H176"/>
    <mergeCell ref="E177:H177"/>
    <mergeCell ref="E178:H178"/>
    <mergeCell ref="E179:H179"/>
    <mergeCell ref="E172:H172"/>
    <mergeCell ref="E173:H173"/>
    <mergeCell ref="E174:H174"/>
    <mergeCell ref="E192:H192"/>
    <mergeCell ref="E193:H193"/>
    <mergeCell ref="E194:H194"/>
    <mergeCell ref="E195:H195"/>
    <mergeCell ref="E196:H196"/>
    <mergeCell ref="E197:H197"/>
    <mergeCell ref="E186:H186"/>
    <mergeCell ref="E187:H187"/>
    <mergeCell ref="E188:H188"/>
    <mergeCell ref="E189:H189"/>
    <mergeCell ref="E190:H190"/>
    <mergeCell ref="E191:H191"/>
    <mergeCell ref="E204:H204"/>
    <mergeCell ref="E205:H205"/>
    <mergeCell ref="E206:H206"/>
    <mergeCell ref="E207:H207"/>
    <mergeCell ref="E208:H208"/>
    <mergeCell ref="E209:H209"/>
    <mergeCell ref="E198:H198"/>
    <mergeCell ref="E199:H199"/>
    <mergeCell ref="E200:H200"/>
    <mergeCell ref="E201:H201"/>
    <mergeCell ref="E202:H202"/>
    <mergeCell ref="E203:H203"/>
    <mergeCell ref="E216:H216"/>
    <mergeCell ref="E217:H217"/>
    <mergeCell ref="E218:H218"/>
    <mergeCell ref="E219:H219"/>
    <mergeCell ref="E210:H210"/>
    <mergeCell ref="E211:H211"/>
    <mergeCell ref="E212:H212"/>
    <mergeCell ref="E213:H213"/>
    <mergeCell ref="E214:H214"/>
    <mergeCell ref="E215:H215"/>
  </mergeCells>
  <pageMargins left="0.19685039370078741" right="0.19685039370078741" top="0.59055118110236227" bottom="0.39370078740157483" header="0.31496062992125984" footer="0.31496062992125984"/>
  <pageSetup paperSize="9" scale="33" fitToHeight="2"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7BEF3E-5C7D-4350-B3A9-04583EE37CE1}">
  <dimension ref="A1:V9"/>
  <sheetViews>
    <sheetView showGridLines="0" zoomScaleNormal="100" workbookViewId="0">
      <pane xSplit="2" ySplit="6" topLeftCell="C7" activePane="bottomRight" state="frozen"/>
      <selection activeCell="J18" sqref="J18"/>
      <selection pane="topRight" activeCell="J18" sqref="J18"/>
      <selection pane="bottomLeft" activeCell="J18" sqref="J18"/>
      <selection pane="bottomRight" activeCell="C7" sqref="C7"/>
    </sheetView>
  </sheetViews>
  <sheetFormatPr baseColWidth="10" defaultColWidth="11.453125" defaultRowHeight="11.5" x14ac:dyDescent="0.25"/>
  <cols>
    <col min="1" max="1" width="12.54296875" style="355" customWidth="1"/>
    <col min="2" max="2" width="25.81640625" style="355" customWidth="1"/>
    <col min="3" max="3" width="7.453125" style="356" customWidth="1"/>
    <col min="4" max="4" width="11.453125" style="357"/>
    <col min="5" max="5" width="11.1796875" style="355" customWidth="1"/>
    <col min="6" max="6" width="15.7265625" style="355" bestFit="1" customWidth="1"/>
    <col min="7" max="7" width="13.1796875" style="355" customWidth="1"/>
    <col min="8" max="8" width="11.26953125" style="358" customWidth="1"/>
    <col min="9" max="10" width="12.1796875" style="326" customWidth="1"/>
    <col min="11" max="11" width="9.453125" style="326" customWidth="1"/>
    <col min="12" max="12" width="9.1796875" style="326" customWidth="1"/>
    <col min="13" max="13" width="12.1796875" style="326" customWidth="1"/>
    <col min="14" max="14" width="1.453125" style="326" customWidth="1"/>
    <col min="15" max="20" width="12.1796875" style="326" customWidth="1"/>
    <col min="21" max="21" width="12.81640625" style="326" customWidth="1"/>
    <col min="22" max="22" width="40.1796875" style="355" customWidth="1"/>
    <col min="23" max="16384" width="11.453125" style="357"/>
  </cols>
  <sheetData>
    <row r="1" spans="1:22" ht="20" x14ac:dyDescent="0.25">
      <c r="A1" s="428" t="str">
        <f>Parametros!D4&amp;" - "&amp;Parametros!D5</f>
        <v>1306304542001 - VELIZ NAPA JAVIER</v>
      </c>
      <c r="I1" s="355"/>
      <c r="J1" s="355"/>
      <c r="K1" s="355"/>
      <c r="L1" s="355"/>
      <c r="M1" s="355"/>
      <c r="N1" s="355"/>
      <c r="O1" s="355"/>
      <c r="P1" s="355"/>
      <c r="Q1" s="355"/>
      <c r="R1" s="355"/>
      <c r="S1" s="355"/>
      <c r="T1" s="355"/>
      <c r="U1" s="355"/>
    </row>
    <row r="2" spans="1:22" ht="19" customHeight="1" x14ac:dyDescent="0.25">
      <c r="A2" s="375" t="s">
        <v>1275</v>
      </c>
      <c r="E2" s="357"/>
      <c r="F2" s="360"/>
      <c r="H2" s="355"/>
      <c r="I2" s="355"/>
      <c r="J2" s="355"/>
      <c r="K2" s="355"/>
      <c r="L2" s="355"/>
      <c r="M2" s="355"/>
      <c r="N2" s="355"/>
    </row>
    <row r="3" spans="1:22" ht="19" customHeight="1" thickBot="1" x14ac:dyDescent="0.3">
      <c r="A3" s="359"/>
      <c r="E3" s="357"/>
      <c r="F3" s="360"/>
      <c r="H3" s="355"/>
      <c r="I3" s="355"/>
      <c r="J3" s="355"/>
      <c r="K3" s="355"/>
      <c r="L3" s="355"/>
      <c r="M3" s="355"/>
      <c r="N3" s="355"/>
      <c r="O3" s="355"/>
      <c r="P3" s="355"/>
      <c r="Q3" s="355"/>
      <c r="R3" s="355"/>
      <c r="S3" s="355"/>
      <c r="T3" s="355"/>
      <c r="U3" s="355"/>
    </row>
    <row r="4" spans="1:22" s="825" customFormat="1" ht="19" customHeight="1" thickBot="1" x14ac:dyDescent="0.4">
      <c r="A4" s="359"/>
      <c r="B4" s="823"/>
      <c r="C4" s="824"/>
      <c r="F4" s="826"/>
      <c r="G4" s="826"/>
      <c r="H4" s="827"/>
      <c r="I4" s="823"/>
      <c r="J4" s="823"/>
      <c r="K4" s="823"/>
      <c r="L4" s="823"/>
      <c r="M4" s="823"/>
      <c r="N4" s="823"/>
      <c r="O4" s="828" t="s">
        <v>2338</v>
      </c>
      <c r="P4" s="829"/>
      <c r="Q4" s="829"/>
      <c r="R4" s="829"/>
      <c r="S4" s="829"/>
      <c r="T4" s="829"/>
      <c r="U4" s="830"/>
      <c r="V4" s="823"/>
    </row>
    <row r="5" spans="1:22" ht="16.5" customHeight="1" thickBot="1" x14ac:dyDescent="0.3">
      <c r="A5" s="794"/>
      <c r="B5" s="795"/>
      <c r="C5" s="796"/>
      <c r="D5" s="797"/>
      <c r="E5" s="797"/>
      <c r="F5" s="798"/>
      <c r="G5" s="798"/>
      <c r="H5" s="799"/>
      <c r="I5" s="903">
        <f>SUBTOTAL(9,I$7:I4875)</f>
        <v>0</v>
      </c>
      <c r="J5" s="903">
        <f>SUBTOTAL(9,J$7:J4875)</f>
        <v>0</v>
      </c>
      <c r="K5" s="903">
        <f>SUBTOTAL(9,K$7:K4875)</f>
        <v>0</v>
      </c>
      <c r="L5" s="903">
        <f>SUBTOTAL(9,L$7:L4875)</f>
        <v>0</v>
      </c>
      <c r="M5" s="904">
        <f>SUBTOTAL(9,M$7:M4875)</f>
        <v>0</v>
      </c>
      <c r="N5" s="902"/>
      <c r="O5" s="831">
        <f>SUBTOTAL(9,O$7:O4875)</f>
        <v>0</v>
      </c>
      <c r="P5" s="831">
        <f>SUBTOTAL(9,P$7:P4875)</f>
        <v>0</v>
      </c>
      <c r="Q5" s="831">
        <f>SUBTOTAL(9,Q$7:Q4875)</f>
        <v>0</v>
      </c>
      <c r="R5" s="831">
        <f>SUBTOTAL(9,R$7:R4875)</f>
        <v>0</v>
      </c>
      <c r="S5" s="831">
        <f>SUBTOTAL(9,S$7:S4875)</f>
        <v>0</v>
      </c>
      <c r="T5" s="831">
        <f>SUBTOTAL(9,T$7:T4875)</f>
        <v>0</v>
      </c>
      <c r="U5" s="831">
        <f>SUBTOTAL(9,U$7:U4875)</f>
        <v>0</v>
      </c>
      <c r="V5" s="1339" t="s">
        <v>746</v>
      </c>
    </row>
    <row r="6" spans="1:22" s="361" customFormat="1" ht="40" customHeight="1" x14ac:dyDescent="0.35">
      <c r="A6" s="853" t="s">
        <v>683</v>
      </c>
      <c r="B6" s="853" t="s">
        <v>685</v>
      </c>
      <c r="C6" s="852" t="s">
        <v>1003</v>
      </c>
      <c r="D6" s="854" t="s">
        <v>1277</v>
      </c>
      <c r="E6" s="855" t="s">
        <v>688</v>
      </c>
      <c r="F6" s="855" t="s">
        <v>691</v>
      </c>
      <c r="G6" s="855" t="s">
        <v>692</v>
      </c>
      <c r="H6" s="855" t="s">
        <v>693</v>
      </c>
      <c r="I6" s="855" t="s">
        <v>1278</v>
      </c>
      <c r="J6" s="855" t="s">
        <v>1279</v>
      </c>
      <c r="K6" s="855" t="s">
        <v>1280</v>
      </c>
      <c r="L6" s="855" t="s">
        <v>1281</v>
      </c>
      <c r="M6" s="855" t="s">
        <v>706</v>
      </c>
      <c r="N6" s="856"/>
      <c r="O6" s="857" t="s">
        <v>2332</v>
      </c>
      <c r="P6" s="857" t="s">
        <v>2333</v>
      </c>
      <c r="Q6" s="857" t="s">
        <v>2334</v>
      </c>
      <c r="R6" s="857" t="s">
        <v>2335</v>
      </c>
      <c r="S6" s="857" t="s">
        <v>2336</v>
      </c>
      <c r="T6" s="857" t="s">
        <v>2337</v>
      </c>
      <c r="U6" s="858" t="s">
        <v>2339</v>
      </c>
      <c r="V6" s="1340"/>
    </row>
    <row r="7" spans="1:22" x14ac:dyDescent="0.25">
      <c r="A7" s="897"/>
      <c r="B7" s="897"/>
      <c r="C7" s="898">
        <v>1</v>
      </c>
      <c r="D7" s="899" t="s">
        <v>1276</v>
      </c>
      <c r="E7" s="897" t="s">
        <v>1035</v>
      </c>
      <c r="F7" s="897"/>
      <c r="G7" s="897"/>
      <c r="H7" s="900">
        <v>45462</v>
      </c>
      <c r="I7" s="901">
        <v>0</v>
      </c>
      <c r="J7" s="901">
        <v>0</v>
      </c>
      <c r="K7" s="901">
        <v>0</v>
      </c>
      <c r="L7" s="901">
        <v>0</v>
      </c>
      <c r="M7" s="901">
        <f>SUM(I7:L7)</f>
        <v>0</v>
      </c>
      <c r="N7" s="901"/>
      <c r="O7" s="901">
        <v>0</v>
      </c>
      <c r="P7" s="901">
        <v>0</v>
      </c>
      <c r="Q7" s="901">
        <v>0</v>
      </c>
      <c r="R7" s="901">
        <v>0</v>
      </c>
      <c r="S7" s="901">
        <v>0</v>
      </c>
      <c r="T7" s="901">
        <v>0</v>
      </c>
      <c r="U7" s="901">
        <f>SUM(O7:T7)</f>
        <v>0</v>
      </c>
      <c r="V7" s="897"/>
    </row>
    <row r="8" spans="1:22" x14ac:dyDescent="0.25">
      <c r="A8" s="897"/>
      <c r="B8" s="897"/>
      <c r="C8" s="898">
        <v>1</v>
      </c>
      <c r="D8" s="899" t="s">
        <v>1276</v>
      </c>
      <c r="E8" s="897" t="s">
        <v>1035</v>
      </c>
      <c r="F8" s="897"/>
      <c r="G8" s="897"/>
      <c r="H8" s="900">
        <v>45462</v>
      </c>
      <c r="I8" s="901">
        <v>0</v>
      </c>
      <c r="J8" s="901">
        <v>0</v>
      </c>
      <c r="K8" s="901">
        <v>0</v>
      </c>
      <c r="L8" s="901">
        <v>0</v>
      </c>
      <c r="M8" s="901">
        <f>SUM(I8:L8)</f>
        <v>0</v>
      </c>
      <c r="N8" s="901"/>
      <c r="O8" s="901">
        <v>0</v>
      </c>
      <c r="P8" s="901">
        <v>0</v>
      </c>
      <c r="Q8" s="901">
        <v>0</v>
      </c>
      <c r="R8" s="901">
        <v>0</v>
      </c>
      <c r="S8" s="901">
        <v>0</v>
      </c>
      <c r="T8" s="901">
        <v>0</v>
      </c>
      <c r="U8" s="901">
        <f>SUM(O8:T8)</f>
        <v>0</v>
      </c>
      <c r="V8" s="897"/>
    </row>
    <row r="9" spans="1:22" x14ac:dyDescent="0.25">
      <c r="A9" s="892"/>
      <c r="B9" s="892"/>
      <c r="C9" s="893">
        <v>1</v>
      </c>
      <c r="D9" s="894" t="s">
        <v>1276</v>
      </c>
      <c r="E9" s="892" t="s">
        <v>1035</v>
      </c>
      <c r="F9" s="892"/>
      <c r="G9" s="892"/>
      <c r="H9" s="895">
        <v>45462</v>
      </c>
      <c r="I9" s="896">
        <v>0</v>
      </c>
      <c r="J9" s="896">
        <v>0</v>
      </c>
      <c r="K9" s="896">
        <v>0</v>
      </c>
      <c r="L9" s="896">
        <v>0</v>
      </c>
      <c r="M9" s="896">
        <f>SUM(I9:L9)</f>
        <v>0</v>
      </c>
      <c r="N9" s="896"/>
      <c r="O9" s="896">
        <v>0</v>
      </c>
      <c r="P9" s="896">
        <v>0</v>
      </c>
      <c r="Q9" s="896">
        <v>0</v>
      </c>
      <c r="R9" s="896">
        <v>0</v>
      </c>
      <c r="S9" s="896">
        <v>0</v>
      </c>
      <c r="T9" s="896">
        <v>0</v>
      </c>
      <c r="U9" s="896">
        <f>SUM(O9:T9)</f>
        <v>0</v>
      </c>
      <c r="V9" s="892"/>
    </row>
  </sheetData>
  <autoFilter ref="A6:V6" xr:uid="{E930E744-3977-4542-AF58-524310E390B6}"/>
  <mergeCells count="1">
    <mergeCell ref="V5:V6"/>
  </mergeCells>
  <conditionalFormatting sqref="A7:V274">
    <cfRule type="expression" dxfId="5" priority="4">
      <formula>ROW()=RowGAS</formula>
    </cfRule>
  </conditionalFormatting>
  <conditionalFormatting sqref="I5:M5">
    <cfRule type="expression" dxfId="4" priority="1">
      <formula>ROW()=RowGAS</formula>
    </cfRule>
  </conditionalFormatting>
  <conditionalFormatting sqref="O5:U5">
    <cfRule type="expression" dxfId="3" priority="2">
      <formula>ROW()=RowGAS</formula>
    </cfRule>
  </conditionalFormatting>
  <conditionalFormatting sqref="P6:T6">
    <cfRule type="expression" dxfId="2" priority="6">
      <formula>ROW()=RowGAS</formula>
    </cfRule>
  </conditionalFormatting>
  <dataValidations count="2">
    <dataValidation type="list" allowBlank="1" showInputMessage="1" showErrorMessage="1" sqref="E7:E1048576" xr:uid="{E5777611-5BF7-4E05-B061-63CAAD82E038}">
      <formula1>ComprobantesCOM</formula1>
    </dataValidation>
    <dataValidation type="list" allowBlank="1" showInputMessage="1" showErrorMessage="1" sqref="D7:D1048576" xr:uid="{DA451516-DE85-45CC-9B26-D34DE4646A8C}">
      <formula1>"F-Fisico,E-Electronico"</formula1>
    </dataValidation>
  </dataValidations>
  <pageMargins left="0.32" right="0.75" top="0.21" bottom="0.33" header="0" footer="0"/>
  <pageSetup paperSize="9" scale="9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1C5EEA-687B-4893-8293-E371C35D3168}">
  <sheetPr codeName="Hoja23">
    <tabColor theme="0" tint="-0.499984740745262"/>
  </sheetPr>
  <dimension ref="A1:O6"/>
  <sheetViews>
    <sheetView showGridLines="0" zoomScaleNormal="100" workbookViewId="0">
      <pane ySplit="6" topLeftCell="A7" activePane="bottomLeft" state="frozen"/>
      <selection activeCell="A7" sqref="A7"/>
      <selection pane="bottomLeft" activeCell="A7" sqref="A7"/>
    </sheetView>
  </sheetViews>
  <sheetFormatPr baseColWidth="10" defaultColWidth="10.81640625" defaultRowHeight="14.5" x14ac:dyDescent="0.35"/>
  <cols>
    <col min="1" max="2" width="10.7265625" style="478" customWidth="1"/>
    <col min="3" max="3" width="10.7265625" style="480" customWidth="1"/>
    <col min="4" max="4" width="10.7265625" style="478" customWidth="1"/>
    <col min="5" max="5" width="11.1796875" style="478" customWidth="1"/>
    <col min="6" max="6" width="9.54296875" style="478" customWidth="1"/>
    <col min="7" max="7" width="42.1796875" style="484" customWidth="1"/>
    <col min="8" max="8" width="10.81640625" style="481" customWidth="1"/>
    <col min="9" max="9" width="19.54296875" style="478" customWidth="1"/>
    <col min="10" max="10" width="21.26953125" style="478" customWidth="1"/>
    <col min="11" max="11" width="13.54296875" style="478" customWidth="1"/>
    <col min="12" max="12" width="11.1796875" style="478" customWidth="1"/>
    <col min="13" max="13" width="13.453125" style="478" customWidth="1"/>
    <col min="14" max="14" width="14.81640625" style="478" customWidth="1"/>
    <col min="15" max="15" width="16.1796875" style="478" customWidth="1"/>
    <col min="16" max="16384" width="10.81640625" style="1"/>
  </cols>
  <sheetData>
    <row r="1" spans="1:15" s="477" customFormat="1" ht="21.65" customHeight="1" thickBot="1" x14ac:dyDescent="0.4">
      <c r="A1" s="490" t="s">
        <v>2223</v>
      </c>
      <c r="B1" s="474"/>
      <c r="C1" s="473"/>
      <c r="D1" s="474"/>
      <c r="E1" s="474"/>
      <c r="F1" s="474"/>
      <c r="G1" s="489"/>
      <c r="H1" s="488"/>
      <c r="I1" s="474"/>
      <c r="J1" s="474"/>
      <c r="K1" s="475"/>
      <c r="L1" s="474"/>
      <c r="M1" s="475"/>
      <c r="N1" s="475"/>
      <c r="O1" s="475"/>
    </row>
    <row r="2" spans="1:15" s="477" customFormat="1" ht="21.65" hidden="1" customHeight="1" x14ac:dyDescent="0.35">
      <c r="A2" s="490"/>
      <c r="B2" s="474"/>
      <c r="C2" s="473"/>
      <c r="D2" s="474"/>
      <c r="E2" s="474"/>
      <c r="F2" s="474"/>
      <c r="G2" s="489"/>
      <c r="H2" s="488"/>
      <c r="I2" s="474"/>
      <c r="J2" s="474"/>
      <c r="K2" s="475"/>
      <c r="L2" s="474"/>
      <c r="M2" s="475"/>
      <c r="N2" s="475"/>
      <c r="O2" s="475"/>
    </row>
    <row r="3" spans="1:15" s="477" customFormat="1" ht="21.65" hidden="1" customHeight="1" x14ac:dyDescent="0.35">
      <c r="A3" s="490"/>
      <c r="B3" s="474"/>
      <c r="C3" s="473"/>
      <c r="D3" s="474"/>
      <c r="E3" s="474"/>
      <c r="F3" s="474"/>
      <c r="G3" s="489"/>
      <c r="H3" s="488"/>
      <c r="I3" s="474"/>
      <c r="J3" s="474"/>
      <c r="K3" s="475"/>
      <c r="L3" s="474"/>
      <c r="M3" s="475"/>
      <c r="N3" s="475"/>
      <c r="O3" s="475"/>
    </row>
    <row r="4" spans="1:15" s="477" customFormat="1" ht="21.65" hidden="1" customHeight="1" x14ac:dyDescent="0.35">
      <c r="A4" s="490"/>
      <c r="B4" s="474"/>
      <c r="C4" s="473"/>
      <c r="D4" s="474"/>
      <c r="E4" s="474"/>
      <c r="F4" s="474"/>
      <c r="G4" s="489"/>
      <c r="H4" s="488"/>
      <c r="I4" s="474"/>
      <c r="J4" s="474"/>
      <c r="K4" s="475"/>
      <c r="L4" s="474"/>
      <c r="M4" s="475"/>
      <c r="N4" s="475"/>
      <c r="O4" s="475"/>
    </row>
    <row r="5" spans="1:15" s="477" customFormat="1" ht="21.65" hidden="1" customHeight="1" thickBot="1" x14ac:dyDescent="0.4">
      <c r="A5" s="490"/>
      <c r="B5" s="474"/>
      <c r="C5" s="473"/>
      <c r="D5" s="474"/>
      <c r="E5" s="474"/>
      <c r="F5" s="474"/>
      <c r="G5" s="489"/>
      <c r="H5" s="488"/>
      <c r="I5" s="474"/>
      <c r="J5" s="474"/>
      <c r="K5" s="475"/>
      <c r="L5" s="474"/>
      <c r="M5" s="475"/>
      <c r="N5" s="475"/>
      <c r="O5" s="475"/>
    </row>
    <row r="6" spans="1:15" s="486" customFormat="1" ht="23" x14ac:dyDescent="0.35">
      <c r="A6" s="380" t="s">
        <v>1891</v>
      </c>
      <c r="B6" s="380" t="s">
        <v>1890</v>
      </c>
      <c r="C6" s="471" t="s">
        <v>1844</v>
      </c>
      <c r="D6" s="380" t="s">
        <v>1889</v>
      </c>
      <c r="E6" s="380" t="s">
        <v>1881</v>
      </c>
      <c r="F6" s="380" t="s">
        <v>1616</v>
      </c>
      <c r="G6" s="485" t="s">
        <v>1880</v>
      </c>
      <c r="H6" s="347" t="s">
        <v>1892</v>
      </c>
      <c r="I6" s="380" t="s">
        <v>1882</v>
      </c>
      <c r="J6" s="380" t="s">
        <v>1884</v>
      </c>
      <c r="K6" s="380" t="s">
        <v>1893</v>
      </c>
      <c r="L6" s="380" t="s">
        <v>1883</v>
      </c>
      <c r="M6" s="380" t="s">
        <v>1878</v>
      </c>
      <c r="N6" s="380" t="s">
        <v>685</v>
      </c>
      <c r="O6" s="380" t="s">
        <v>1885</v>
      </c>
    </row>
  </sheetData>
  <autoFilter ref="A6:Q6" xr:uid="{351C5EEA-687B-4893-8293-E371C35D3168}"/>
  <phoneticPr fontId="55" type="noConversion"/>
  <dataValidations count="3">
    <dataValidation type="list" allowBlank="1" showInputMessage="1" showErrorMessage="1" sqref="E7:E1048576" xr:uid="{0A49279A-0E0F-4305-B9F1-947000971B8C}">
      <formula1>"ABONO,RETENCION,AJUSTE"</formula1>
    </dataValidation>
    <dataValidation type="list" allowBlank="1" showInputMessage="1" showErrorMessage="1" sqref="F7:F1048576" xr:uid="{A8A1FA9D-3035-415E-942D-82B0855754A0}">
      <formula1>"Entrada,Salida"</formula1>
    </dataValidation>
    <dataValidation type="list" allowBlank="1" showInputMessage="1" showErrorMessage="1" sqref="G7:H1048576" xr:uid="{7FF0F315-2D07-4A81-9ECF-1DDEB838E296}">
      <formula1>pagos</formula1>
    </dataValidation>
  </dataValidations>
  <pageMargins left="0.7" right="0.7" top="0.75" bottom="0.75"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C0A956-6021-439C-8872-DD8DA5827F8E}">
  <sheetPr codeName="Hoja21">
    <tabColor theme="0" tint="-0.499984740745262"/>
  </sheetPr>
  <dimension ref="A1:AI6"/>
  <sheetViews>
    <sheetView showGridLines="0" zoomScale="85" zoomScaleNormal="85" workbookViewId="0">
      <pane ySplit="6" topLeftCell="A7" activePane="bottomLeft" state="frozen"/>
      <selection activeCell="D6" sqref="D6"/>
      <selection pane="bottomLeft" activeCell="A7" sqref="A7"/>
    </sheetView>
  </sheetViews>
  <sheetFormatPr baseColWidth="10" defaultColWidth="10.81640625" defaultRowHeight="14.5" outlineLevelCol="1" x14ac:dyDescent="0.35"/>
  <cols>
    <col min="1" max="1" width="10.7265625" style="478" customWidth="1"/>
    <col min="2" max="2" width="6.54296875" style="479" customWidth="1"/>
    <col min="3" max="3" width="10.7265625" style="478" customWidth="1"/>
    <col min="4" max="4" width="10.7265625" style="480" customWidth="1"/>
    <col min="5" max="5" width="10.1796875" style="478" customWidth="1"/>
    <col min="6" max="7" width="11.1796875" style="478" customWidth="1"/>
    <col min="8" max="8" width="29.453125" style="478" customWidth="1"/>
    <col min="9" max="9" width="13.54296875" style="478" hidden="1" customWidth="1" outlineLevel="1"/>
    <col min="10" max="10" width="10.26953125" style="481" customWidth="1" collapsed="1"/>
    <col min="11" max="11" width="10.26953125" style="481" customWidth="1"/>
    <col min="12" max="12" width="10.26953125" style="481" hidden="1" customWidth="1" outlineLevel="1"/>
    <col min="13" max="13" width="10.81640625" style="481" customWidth="1" collapsed="1"/>
    <col min="14" max="14" width="11.453125" style="479" customWidth="1"/>
    <col min="15" max="15" width="9.453125" style="481" customWidth="1"/>
    <col min="16" max="16" width="9.54296875" style="481" customWidth="1"/>
    <col min="17" max="17" width="7.54296875" style="482" customWidth="1"/>
    <col min="18" max="18" width="24.54296875" style="484" hidden="1" customWidth="1" outlineLevel="1"/>
    <col min="19" max="19" width="7.1796875" style="481" hidden="1" customWidth="1" outlineLevel="1"/>
    <col min="20" max="20" width="10.81640625" style="481" hidden="1" customWidth="1" outlineLevel="1"/>
    <col min="21" max="21" width="9.54296875" style="481" hidden="1" customWidth="1" outlineLevel="1"/>
    <col min="22" max="22" width="7.54296875" style="482" hidden="1" customWidth="1" outlineLevel="1"/>
    <col min="23" max="23" width="7.54296875" style="482" customWidth="1" collapsed="1"/>
    <col min="24" max="24" width="24.54296875" style="484" hidden="1" customWidth="1" outlineLevel="1"/>
    <col min="25" max="25" width="7.1796875" style="481" hidden="1" customWidth="1" outlineLevel="1"/>
    <col min="26" max="26" width="9.453125" style="481" hidden="1" customWidth="1" outlineLevel="1"/>
    <col min="27" max="27" width="9.54296875" style="481" hidden="1" customWidth="1" outlineLevel="1"/>
    <col min="28" max="28" width="9.54296875" style="481" customWidth="1" collapsed="1"/>
    <col min="29" max="29" width="10.54296875" style="481" customWidth="1"/>
    <col min="30" max="30" width="13.54296875" style="478" customWidth="1" outlineLevel="1"/>
    <col min="31" max="31" width="13.453125" style="478" customWidth="1" outlineLevel="1"/>
    <col min="32" max="32" width="14.81640625" style="478" customWidth="1" outlineLevel="1"/>
    <col min="33" max="33" width="16.1796875" style="478" customWidth="1" outlineLevel="1"/>
    <col min="34" max="34" width="14.54296875" style="479" customWidth="1" outlineLevel="1"/>
    <col min="35" max="35" width="6.81640625" style="912" customWidth="1"/>
    <col min="36" max="16384" width="10.81640625" style="1"/>
  </cols>
  <sheetData>
    <row r="1" spans="1:35" s="477" customFormat="1" ht="21.65" customHeight="1" x14ac:dyDescent="0.35">
      <c r="A1" s="490" t="s">
        <v>1618</v>
      </c>
      <c r="B1" s="472"/>
      <c r="C1" s="474"/>
      <c r="D1" s="473"/>
      <c r="E1" s="474"/>
      <c r="F1" s="474"/>
      <c r="G1" s="474"/>
      <c r="H1" s="475"/>
      <c r="I1" s="475"/>
      <c r="J1" s="487"/>
      <c r="K1" s="487"/>
      <c r="L1" s="487"/>
      <c r="M1" s="488"/>
      <c r="N1" s="475"/>
      <c r="O1" s="487"/>
      <c r="P1" s="487"/>
      <c r="Q1" s="476"/>
      <c r="R1" s="489"/>
      <c r="S1" s="487"/>
      <c r="T1" s="487"/>
      <c r="U1" s="487"/>
      <c r="V1" s="476"/>
      <c r="W1" s="476"/>
      <c r="X1" s="489"/>
      <c r="Y1" s="487"/>
      <c r="Z1" s="487"/>
      <c r="AA1" s="487"/>
      <c r="AB1" s="487"/>
      <c r="AC1" s="487"/>
      <c r="AD1" s="475"/>
      <c r="AE1" s="475"/>
      <c r="AF1" s="475"/>
      <c r="AG1" s="475"/>
      <c r="AH1" s="475"/>
      <c r="AI1" s="911"/>
    </row>
    <row r="2" spans="1:35" s="477" customFormat="1" ht="21.65" hidden="1" customHeight="1" x14ac:dyDescent="0.35">
      <c r="A2" s="490"/>
      <c r="B2" s="472"/>
      <c r="C2" s="474"/>
      <c r="D2" s="473"/>
      <c r="E2" s="474"/>
      <c r="F2" s="474"/>
      <c r="G2" s="474"/>
      <c r="H2" s="475"/>
      <c r="I2" s="475"/>
      <c r="J2" s="487"/>
      <c r="K2" s="487"/>
      <c r="L2" s="487"/>
      <c r="M2" s="488"/>
      <c r="N2" s="475"/>
      <c r="O2" s="487"/>
      <c r="P2" s="487"/>
      <c r="Q2" s="476"/>
      <c r="R2" s="489"/>
      <c r="S2" s="487"/>
      <c r="T2" s="487"/>
      <c r="U2" s="487"/>
      <c r="V2" s="476"/>
      <c r="W2" s="476"/>
      <c r="X2" s="489"/>
      <c r="Y2" s="487"/>
      <c r="Z2" s="487"/>
      <c r="AA2" s="487"/>
      <c r="AB2" s="487"/>
      <c r="AC2" s="487"/>
      <c r="AD2" s="475"/>
      <c r="AE2" s="475"/>
      <c r="AF2" s="475"/>
      <c r="AG2" s="475"/>
      <c r="AH2" s="475"/>
      <c r="AI2" s="911"/>
    </row>
    <row r="3" spans="1:35" s="477" customFormat="1" ht="21.65" hidden="1" customHeight="1" x14ac:dyDescent="0.35">
      <c r="A3" s="490"/>
      <c r="B3" s="472"/>
      <c r="C3" s="474"/>
      <c r="D3" s="473"/>
      <c r="E3" s="474"/>
      <c r="F3" s="474"/>
      <c r="G3" s="474"/>
      <c r="H3" s="475"/>
      <c r="I3" s="475"/>
      <c r="J3" s="487"/>
      <c r="K3" s="487"/>
      <c r="L3" s="487"/>
      <c r="M3" s="488"/>
      <c r="N3" s="475"/>
      <c r="O3" s="487"/>
      <c r="P3" s="487"/>
      <c r="Q3" s="476"/>
      <c r="R3" s="489"/>
      <c r="S3" s="487"/>
      <c r="T3" s="487"/>
      <c r="U3" s="487"/>
      <c r="V3" s="476"/>
      <c r="W3" s="476"/>
      <c r="X3" s="489"/>
      <c r="Y3" s="487"/>
      <c r="Z3" s="487"/>
      <c r="AA3" s="487"/>
      <c r="AB3" s="487"/>
      <c r="AC3" s="487"/>
      <c r="AD3" s="475"/>
      <c r="AE3" s="475"/>
      <c r="AF3" s="475"/>
      <c r="AG3" s="475"/>
      <c r="AH3" s="475"/>
      <c r="AI3" s="911"/>
    </row>
    <row r="4" spans="1:35" s="477" customFormat="1" ht="21.65" hidden="1" customHeight="1" x14ac:dyDescent="0.35">
      <c r="A4" s="490"/>
      <c r="B4" s="472"/>
      <c r="C4" s="474"/>
      <c r="D4" s="473"/>
      <c r="E4" s="474"/>
      <c r="F4" s="474"/>
      <c r="G4" s="474"/>
      <c r="H4" s="475"/>
      <c r="I4" s="475"/>
      <c r="J4" s="487"/>
      <c r="K4" s="487"/>
      <c r="L4" s="487"/>
      <c r="M4" s="488"/>
      <c r="N4" s="475"/>
      <c r="O4" s="487"/>
      <c r="P4" s="487"/>
      <c r="Q4" s="476"/>
      <c r="R4" s="489"/>
      <c r="S4" s="487"/>
      <c r="T4" s="487"/>
      <c r="U4" s="487"/>
      <c r="V4" s="476"/>
      <c r="W4" s="476"/>
      <c r="X4" s="489"/>
      <c r="Y4" s="487"/>
      <c r="Z4" s="487"/>
      <c r="AA4" s="487"/>
      <c r="AB4" s="487"/>
      <c r="AC4" s="487"/>
      <c r="AD4" s="475"/>
      <c r="AE4" s="475"/>
      <c r="AF4" s="475"/>
      <c r="AG4" s="475"/>
      <c r="AH4" s="475"/>
      <c r="AI4" s="911"/>
    </row>
    <row r="5" spans="1:35" s="477" customFormat="1" ht="21.65" hidden="1" customHeight="1" thickBot="1" x14ac:dyDescent="0.4">
      <c r="A5" s="490"/>
      <c r="B5" s="472"/>
      <c r="C5" s="474"/>
      <c r="D5" s="473"/>
      <c r="E5" s="474"/>
      <c r="F5" s="474"/>
      <c r="G5" s="474"/>
      <c r="H5" s="475"/>
      <c r="I5" s="475"/>
      <c r="J5" s="487"/>
      <c r="K5" s="487"/>
      <c r="L5" s="487"/>
      <c r="M5" s="488"/>
      <c r="N5" s="475"/>
      <c r="O5" s="487"/>
      <c r="P5" s="487"/>
      <c r="Q5" s="476"/>
      <c r="R5" s="489"/>
      <c r="S5" s="487"/>
      <c r="T5" s="487"/>
      <c r="U5" s="487"/>
      <c r="V5" s="476"/>
      <c r="W5" s="476"/>
      <c r="X5" s="489"/>
      <c r="Y5" s="487"/>
      <c r="Z5" s="487"/>
      <c r="AA5" s="487"/>
      <c r="AB5" s="487"/>
      <c r="AC5" s="487"/>
      <c r="AD5" s="475"/>
      <c r="AE5" s="475"/>
      <c r="AF5" s="475"/>
      <c r="AG5" s="475"/>
      <c r="AH5" s="475"/>
      <c r="AI5" s="911"/>
    </row>
    <row r="6" spans="1:35" s="486" customFormat="1" ht="34.5" x14ac:dyDescent="0.35">
      <c r="A6" s="772" t="s">
        <v>1617</v>
      </c>
      <c r="B6" s="772" t="s">
        <v>1616</v>
      </c>
      <c r="C6" s="772" t="s">
        <v>1889</v>
      </c>
      <c r="D6" s="773" t="s">
        <v>1844</v>
      </c>
      <c r="E6" s="772" t="s">
        <v>1851</v>
      </c>
      <c r="F6" s="772" t="s">
        <v>1614</v>
      </c>
      <c r="G6" s="772" t="s">
        <v>1850</v>
      </c>
      <c r="H6" s="772" t="s">
        <v>0</v>
      </c>
      <c r="I6" s="772" t="s">
        <v>1589</v>
      </c>
      <c r="J6" s="544" t="s">
        <v>1036</v>
      </c>
      <c r="K6" s="544" t="s">
        <v>1613</v>
      </c>
      <c r="L6" s="544" t="s">
        <v>1841</v>
      </c>
      <c r="M6" s="544" t="s">
        <v>1611</v>
      </c>
      <c r="N6" s="772" t="s">
        <v>1612</v>
      </c>
      <c r="O6" s="544" t="s">
        <v>1869</v>
      </c>
      <c r="P6" s="544" t="s">
        <v>1609</v>
      </c>
      <c r="Q6" s="772" t="s">
        <v>1845</v>
      </c>
      <c r="R6" s="774" t="s">
        <v>1586</v>
      </c>
      <c r="S6" s="544" t="s">
        <v>1585</v>
      </c>
      <c r="T6" s="544" t="s">
        <v>1608</v>
      </c>
      <c r="U6" s="544" t="s">
        <v>1607</v>
      </c>
      <c r="V6" s="772" t="s">
        <v>1870</v>
      </c>
      <c r="W6" s="772" t="s">
        <v>1606</v>
      </c>
      <c r="X6" s="774" t="s">
        <v>1584</v>
      </c>
      <c r="Y6" s="544" t="s">
        <v>1583</v>
      </c>
      <c r="Z6" s="544" t="s">
        <v>1605</v>
      </c>
      <c r="AA6" s="544" t="s">
        <v>1604</v>
      </c>
      <c r="AB6" s="544" t="s">
        <v>1354</v>
      </c>
      <c r="AC6" s="544" t="s">
        <v>1603</v>
      </c>
      <c r="AD6" s="772" t="s">
        <v>1843</v>
      </c>
      <c r="AE6" s="772" t="s">
        <v>1878</v>
      </c>
      <c r="AF6" s="772" t="s">
        <v>685</v>
      </c>
      <c r="AG6" s="772" t="s">
        <v>1879</v>
      </c>
      <c r="AH6" s="772" t="s">
        <v>2255</v>
      </c>
      <c r="AI6" s="772" t="s">
        <v>2394</v>
      </c>
    </row>
  </sheetData>
  <autoFilter ref="A6:AI6" xr:uid="{19C0A956-6021-439C-8872-DD8DA5827F8E}"/>
  <phoneticPr fontId="55" type="noConversion"/>
  <dataValidations count="5">
    <dataValidation type="list" allowBlank="1" showInputMessage="1" showErrorMessage="1" sqref="X7:X1048576" xr:uid="{39C1C785-68A6-4FA8-A6A9-85D9FB6ACBBE}">
      <formula1>tbIBPs2</formula1>
    </dataValidation>
    <dataValidation type="list" allowBlank="1" showInputMessage="1" showErrorMessage="1" sqref="V7:W1048576 Q7:Q1048576" xr:uid="{F89350C9-5C11-4CB0-843B-627689628BA5}">
      <formula1>"SI,NO"</formula1>
    </dataValidation>
    <dataValidation type="list" allowBlank="1" showInputMessage="1" showErrorMessage="1" sqref="R7:R1048576" xr:uid="{A032F764-DB9A-46DE-9806-97570FCCC450}">
      <formula1>tbICEs2</formula1>
    </dataValidation>
    <dataValidation type="list" allowBlank="1" showInputMessage="1" showErrorMessage="1" sqref="N7:N1048576" xr:uid="{C9D730DA-58FC-4383-A64D-4E09BEB38819}">
      <formula1>"0%,GRAVABLE,No Objeto IVA,EXENTO"</formula1>
    </dataValidation>
    <dataValidation type="list" allowBlank="1" showInputMessage="1" showErrorMessage="1" sqref="B7:B1048576" xr:uid="{77CA345C-24F2-4C08-9A9F-B5611F8C83AC}">
      <formula1>CodTransDET</formula1>
    </dataValidation>
  </dataValidations>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B1C46E-5D95-4910-9117-A98EC2673E8D}">
  <sheetPr codeName="Hoja18">
    <tabColor theme="0" tint="-0.499984740745262"/>
    <pageSetUpPr fitToPage="1"/>
  </sheetPr>
  <dimension ref="A1:N7"/>
  <sheetViews>
    <sheetView showGridLines="0" zoomScaleNormal="100" workbookViewId="0">
      <pane ySplit="6" topLeftCell="A7" activePane="bottomLeft" state="frozen"/>
      <selection activeCell="D6" sqref="D6"/>
      <selection pane="bottomLeft" activeCell="A7" sqref="A7"/>
    </sheetView>
  </sheetViews>
  <sheetFormatPr baseColWidth="10" defaultColWidth="9.1796875" defaultRowHeight="11.5" outlineLevelCol="1" x14ac:dyDescent="0.25"/>
  <cols>
    <col min="1" max="1" width="9.7265625" style="905" customWidth="1"/>
    <col min="2" max="3" width="11" style="905" customWidth="1"/>
    <col min="4" max="4" width="40.1796875" style="507" customWidth="1"/>
    <col min="5" max="5" width="20.453125" style="905" customWidth="1" outlineLevel="1"/>
    <col min="6" max="6" width="11" style="507" customWidth="1"/>
    <col min="7" max="7" width="10.453125" style="508" customWidth="1"/>
    <col min="8" max="8" width="10.453125" style="508" customWidth="1" outlineLevel="1"/>
    <col min="9" max="9" width="12.1796875" style="509" customWidth="1"/>
    <col min="10" max="10" width="9.1796875" style="510" customWidth="1"/>
    <col min="11" max="12" width="23.54296875" style="511" customWidth="1" outlineLevel="1"/>
    <col min="13" max="13" width="35.26953125" style="504" customWidth="1" outlineLevel="1"/>
    <col min="14" max="14" width="10.453125" style="504" bestFit="1" customWidth="1"/>
    <col min="15" max="16384" width="9.1796875" style="504"/>
  </cols>
  <sheetData>
    <row r="1" spans="1:14" s="500" customFormat="1" ht="21.65" customHeight="1" thickBot="1" x14ac:dyDescent="0.3">
      <c r="A1" s="490" t="s">
        <v>1592</v>
      </c>
      <c r="B1" s="656"/>
      <c r="C1" s="656"/>
      <c r="D1" s="493"/>
      <c r="F1" s="493"/>
      <c r="G1" s="494"/>
      <c r="H1" s="494"/>
      <c r="I1" s="495"/>
      <c r="J1" s="496"/>
      <c r="K1" s="495"/>
      <c r="L1" s="495"/>
      <c r="M1" s="492"/>
      <c r="N1" s="498"/>
    </row>
    <row r="2" spans="1:14" s="500" customFormat="1" ht="21.65" hidden="1" customHeight="1" x14ac:dyDescent="0.25">
      <c r="A2" s="656"/>
      <c r="B2" s="656"/>
      <c r="C2" s="656"/>
      <c r="D2" s="493"/>
      <c r="F2" s="493"/>
      <c r="G2" s="494"/>
      <c r="H2" s="494"/>
      <c r="I2" s="495"/>
      <c r="J2" s="496"/>
      <c r="K2" s="495"/>
      <c r="L2" s="495"/>
      <c r="M2" s="492"/>
      <c r="N2" s="498"/>
    </row>
    <row r="3" spans="1:14" s="500" customFormat="1" ht="21.65" hidden="1" customHeight="1" x14ac:dyDescent="0.25">
      <c r="A3" s="656"/>
      <c r="B3" s="656"/>
      <c r="C3" s="656"/>
      <c r="D3" s="493"/>
      <c r="F3" s="493"/>
      <c r="G3" s="494"/>
      <c r="H3" s="494"/>
      <c r="I3" s="495"/>
      <c r="J3" s="496"/>
      <c r="K3" s="495"/>
      <c r="L3" s="495"/>
      <c r="M3" s="492"/>
      <c r="N3" s="498"/>
    </row>
    <row r="4" spans="1:14" s="500" customFormat="1" ht="21.65" hidden="1" customHeight="1" x14ac:dyDescent="0.25">
      <c r="A4" s="656"/>
      <c r="B4" s="656"/>
      <c r="C4" s="656"/>
      <c r="D4" s="493"/>
      <c r="F4" s="493"/>
      <c r="G4" s="494"/>
      <c r="H4" s="494"/>
      <c r="I4" s="495"/>
      <c r="J4" s="496"/>
      <c r="K4" s="495"/>
      <c r="L4" s="495"/>
      <c r="M4" s="492"/>
      <c r="N4" s="498"/>
    </row>
    <row r="5" spans="1:14" s="500" customFormat="1" ht="21.65" hidden="1" customHeight="1" thickBot="1" x14ac:dyDescent="0.3">
      <c r="A5" s="656"/>
      <c r="B5" s="656"/>
      <c r="C5" s="656"/>
      <c r="D5" s="493"/>
      <c r="F5" s="493"/>
      <c r="G5" s="494"/>
      <c r="H5" s="494"/>
      <c r="I5" s="495"/>
      <c r="J5" s="496"/>
      <c r="K5" s="495"/>
      <c r="L5" s="495"/>
      <c r="M5" s="492"/>
      <c r="N5" s="498"/>
    </row>
    <row r="6" spans="1:14" s="520" customFormat="1" ht="30" customHeight="1" x14ac:dyDescent="0.35">
      <c r="A6" s="772" t="s">
        <v>2222</v>
      </c>
      <c r="B6" s="521" t="s">
        <v>1591</v>
      </c>
      <c r="C6" s="521" t="s">
        <v>1590</v>
      </c>
      <c r="D6" s="521" t="s">
        <v>0</v>
      </c>
      <c r="E6" s="915" t="s">
        <v>1730</v>
      </c>
      <c r="F6" s="521" t="s">
        <v>1589</v>
      </c>
      <c r="G6" s="522" t="s">
        <v>1588</v>
      </c>
      <c r="H6" s="522" t="s">
        <v>1852</v>
      </c>
      <c r="I6" s="519" t="s">
        <v>1587</v>
      </c>
      <c r="J6" s="348" t="s">
        <v>1610</v>
      </c>
      <c r="K6" s="521" t="s">
        <v>1586</v>
      </c>
      <c r="L6" s="521" t="s">
        <v>1584</v>
      </c>
      <c r="M6" s="519" t="s">
        <v>1842</v>
      </c>
    </row>
    <row r="7" spans="1:14" x14ac:dyDescent="0.25">
      <c r="A7" s="906" t="s">
        <v>2413</v>
      </c>
      <c r="B7" s="906" t="s">
        <v>2414</v>
      </c>
      <c r="C7" s="906"/>
      <c r="D7" s="502" t="s">
        <v>1936</v>
      </c>
      <c r="E7" s="907" t="s">
        <v>2226</v>
      </c>
      <c r="F7" s="502"/>
      <c r="G7" s="913">
        <v>500</v>
      </c>
      <c r="H7" s="913">
        <v>0</v>
      </c>
      <c r="I7" s="914" t="s">
        <v>2408</v>
      </c>
      <c r="J7" s="908">
        <v>0</v>
      </c>
      <c r="K7" s="503"/>
      <c r="L7" s="503"/>
      <c r="M7" s="501"/>
    </row>
  </sheetData>
  <autoFilter ref="A6:N17" xr:uid="{C1B1C46E-5D95-4910-9117-A98EC2673E8D}"/>
  <phoneticPr fontId="55" type="noConversion"/>
  <dataValidations count="7">
    <dataValidation type="textLength" operator="lessThanOrEqual" allowBlank="1" showInputMessage="1" showErrorMessage="1" errorTitle="FactelExcel" error="Debe ingresar un valor correcto para el Codigo Principal" sqref="A983017:C1048576 A917481:C983014 A851945:C917478 A786409:C851942 A720873:C786406 A655337:C720870 A589801:C655334 A524265:C589798 A458729:C524262 A393193:C458726 A327657:C393190 A262121:C327654 A196585:C262118 A131049:C196582 A65513:C131046 A7:C65510" xr:uid="{2BCBC428-9AE3-4078-913E-26B4BA3B2124}">
      <formula1>25</formula1>
    </dataValidation>
    <dataValidation type="textLength" operator="lessThanOrEqual" allowBlank="1" showInputMessage="1" showErrorMessage="1" errorTitle="FactelExcel" error="Debe ingresar un valor correcto para la Descripcion de Productos" sqref="F131049:F196582 F196585:F262118 F262121:F327654 F327657:F393190 F393193:F458726 F458729:F524262 F524265:F589798 F589801:F655334 F655337:F720870 F720873:F786406 F786409:F851942 F851945:F917478 F917481:F983014 F983017:F1048576 J65513:J131046 J131049:J196582 J196585:J262118 J262121:J327654 J327657:J393190 J393193:J458726 J458729:J524262 J524265:J589798 J589801:J655334 J655337:J720870 J720873:J786406 J786409:J851942 J851945:J917478 J917481:J983014 J983017:J1048576 M917481:M983014 M851945:M917478 M786409:M851942 M720873:M786406 M655337:M720870 M589801:M655334 M524265:M589798 M458729:M524262 M393193:M458726 M327657:M393190 M262121:M327654 M196585:M262118 M131049:M196582 M65513:M131046 M983017:M1048576 D983017:D1048576 D917481:D983014 D851945:D917478 D786409:D851942 D720873:D786406 D655337:D720870 D589801:D655334 D524265:D589798 D458729:D524262 D393193:D458726 D327657:D393190 D262121:D327654 D196585:D262118 D131049:D196582 D65513:D131046 F65513:F131046 D7:D65510 J7:J65510 M7:M65510 F7:F65510" xr:uid="{644CAFA9-D918-4392-9551-C4F86D187993}">
      <formula1>300</formula1>
    </dataValidation>
    <dataValidation allowBlank="1" showInputMessage="1" showErrorMessage="1" errorTitle="Contribuyentes" error="Tiene que ingresar el código de Identificación (1-2-3)" sqref="A524264:C524264 A65512:C65512 E6 A983016:C983016 A458728:C458728 A917480:C917480 A196584:C196584 A851944:C851944 A393192:C393192 A786408:C786408 B6:C6 A720872:C720872 A327656:C327656 A655336:C655336 A131048:C131048 A589800:C589800 A262120:C262120" xr:uid="{5058861E-B66C-4920-A42F-05BBB5C5D015}"/>
    <dataValidation type="list" allowBlank="1" showInputMessage="1" showErrorMessage="1" sqref="I7:I1048576" xr:uid="{E04A43B6-B111-4814-8966-F3F5C74A3ABD}">
      <formula1>"0%,GRAVABLE,No Objeto IVA,EXENTO"</formula1>
    </dataValidation>
    <dataValidation type="list" allowBlank="1" showInputMessage="1" showErrorMessage="1" sqref="K7:K1048576" xr:uid="{AC66A164-B324-43A4-8E34-CF25320102CD}">
      <formula1>tbICEs2</formula1>
    </dataValidation>
    <dataValidation type="list" operator="lessThanOrEqual" allowBlank="1" showInputMessage="1" errorTitle="FactelExcel" error="Debe ingresar un valor correcto para la Descripcion de Productos" sqref="L7:L1048576" xr:uid="{5F063B83-1003-4A3D-AB91-DE68C539C10B}">
      <formula1>tbIBPs2</formula1>
    </dataValidation>
    <dataValidation type="list" allowBlank="1" showInputMessage="1" showErrorMessage="1" sqref="E7:E1048576" xr:uid="{A21178FF-B73C-47E9-AFBE-53245323FF40}">
      <formula1>"GENERAL,CONSTRUCCION-REBAJA,TURISMO-REBAJA"</formula1>
    </dataValidation>
  </dataValidations>
  <pageMargins left="0.75" right="0.75" top="0.39370078740157483" bottom="0.39370078740157483" header="0" footer="0"/>
  <pageSetup paperSize="9" scale="5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48034D-3CF7-434A-A740-C31ED3875186}">
  <sheetPr codeName="Hoja19">
    <tabColor theme="0" tint="-0.499984740745262"/>
    <pageSetUpPr fitToPage="1"/>
  </sheetPr>
  <dimension ref="A1:M7"/>
  <sheetViews>
    <sheetView showGridLines="0" zoomScaleNormal="100" workbookViewId="0">
      <pane ySplit="6" topLeftCell="A7" activePane="bottomLeft" state="frozen"/>
      <selection activeCell="A7" sqref="A7"/>
      <selection pane="bottomLeft" activeCell="A7" sqref="A7"/>
    </sheetView>
  </sheetViews>
  <sheetFormatPr baseColWidth="10" defaultColWidth="9.1796875" defaultRowHeight="11.5" outlineLevelCol="1" x14ac:dyDescent="0.25"/>
  <cols>
    <col min="1" max="1" width="10.7265625" style="507" customWidth="1"/>
    <col min="2" max="2" width="15.81640625" style="507" customWidth="1"/>
    <col min="3" max="3" width="16.7265625" style="513" customWidth="1"/>
    <col min="4" max="4" width="35.26953125" style="507" customWidth="1"/>
    <col min="5" max="5" width="43.81640625" style="507" customWidth="1"/>
    <col min="6" max="6" width="16.26953125" style="504" customWidth="1"/>
    <col min="7" max="7" width="12.1796875" style="505" customWidth="1"/>
    <col min="8" max="8" width="10.81640625" style="507" customWidth="1"/>
    <col min="9" max="9" width="23.7265625" style="507" customWidth="1"/>
    <col min="10" max="10" width="10.81640625" style="507" hidden="1" customWidth="1" outlineLevel="1"/>
    <col min="11" max="11" width="14.7265625" style="511" hidden="1" customWidth="1" outlineLevel="1"/>
    <col min="12" max="12" width="10.81640625" style="507" hidden="1" customWidth="1" outlineLevel="1"/>
    <col min="13" max="13" width="9.1796875" style="504" collapsed="1"/>
    <col min="14" max="16384" width="9.1796875" style="504"/>
  </cols>
  <sheetData>
    <row r="1" spans="1:13" s="518" customFormat="1" ht="21.65" customHeight="1" thickBot="1" x14ac:dyDescent="0.45">
      <c r="A1" s="466" t="s">
        <v>1601</v>
      </c>
      <c r="B1" s="657"/>
      <c r="C1" s="466"/>
      <c r="D1" s="514"/>
      <c r="E1" s="514"/>
      <c r="F1" s="515"/>
      <c r="G1" s="516"/>
      <c r="H1" s="517"/>
      <c r="I1" s="517"/>
      <c r="J1" s="517"/>
      <c r="K1" s="658"/>
      <c r="L1" s="517"/>
      <c r="M1" s="516"/>
    </row>
    <row r="2" spans="1:13" s="500" customFormat="1" ht="21.65" hidden="1" customHeight="1" x14ac:dyDescent="0.25">
      <c r="A2" s="491"/>
      <c r="B2" s="656"/>
      <c r="C2" s="491"/>
      <c r="D2" s="493"/>
      <c r="E2" s="493"/>
      <c r="F2" s="494"/>
      <c r="G2" s="497"/>
      <c r="H2" s="495"/>
      <c r="I2" s="495"/>
      <c r="J2" s="495"/>
      <c r="K2" s="659"/>
      <c r="L2" s="495"/>
      <c r="M2" s="497"/>
    </row>
    <row r="3" spans="1:13" s="500" customFormat="1" ht="21.65" hidden="1" customHeight="1" x14ac:dyDescent="0.25">
      <c r="A3" s="491"/>
      <c r="B3" s="656"/>
      <c r="C3" s="491"/>
      <c r="D3" s="493"/>
      <c r="E3" s="493"/>
      <c r="F3" s="494"/>
      <c r="G3" s="497"/>
      <c r="H3" s="495"/>
      <c r="I3" s="495"/>
      <c r="J3" s="495"/>
      <c r="K3" s="659"/>
      <c r="L3" s="495"/>
      <c r="M3" s="497"/>
    </row>
    <row r="4" spans="1:13" s="500" customFormat="1" ht="21.65" hidden="1" customHeight="1" x14ac:dyDescent="0.25">
      <c r="A4" s="491"/>
      <c r="B4" s="656"/>
      <c r="C4" s="491"/>
      <c r="D4" s="493"/>
      <c r="E4" s="493"/>
      <c r="F4" s="494"/>
      <c r="G4" s="497"/>
      <c r="H4" s="495"/>
      <c r="I4" s="495"/>
      <c r="J4" s="495"/>
      <c r="K4" s="659"/>
      <c r="L4" s="495"/>
      <c r="M4" s="497"/>
    </row>
    <row r="5" spans="1:13" s="500" customFormat="1" ht="21.65" hidden="1" customHeight="1" thickBot="1" x14ac:dyDescent="0.3">
      <c r="A5" s="491"/>
      <c r="B5" s="656"/>
      <c r="C5" s="491"/>
      <c r="D5" s="493"/>
      <c r="E5" s="493"/>
      <c r="F5" s="494"/>
      <c r="G5" s="497"/>
      <c r="H5" s="495"/>
      <c r="I5" s="495"/>
      <c r="J5" s="495"/>
      <c r="K5" s="659"/>
      <c r="L5" s="495"/>
      <c r="M5" s="497"/>
    </row>
    <row r="6" spans="1:13" s="520" customFormat="1" ht="30" customHeight="1" x14ac:dyDescent="0.35">
      <c r="A6" s="521" t="s">
        <v>1846</v>
      </c>
      <c r="B6" s="521" t="s">
        <v>683</v>
      </c>
      <c r="C6" s="519" t="s">
        <v>1600</v>
      </c>
      <c r="D6" s="521" t="s">
        <v>1599</v>
      </c>
      <c r="E6" s="521" t="s">
        <v>1598</v>
      </c>
      <c r="F6" s="519" t="s">
        <v>686</v>
      </c>
      <c r="G6" s="519" t="s">
        <v>687</v>
      </c>
      <c r="H6" s="521" t="s">
        <v>1597</v>
      </c>
      <c r="I6" s="521" t="s">
        <v>1596</v>
      </c>
      <c r="J6" s="521" t="s">
        <v>1871</v>
      </c>
      <c r="K6" s="521" t="s">
        <v>1595</v>
      </c>
      <c r="L6" s="521" t="s">
        <v>1729</v>
      </c>
    </row>
    <row r="7" spans="1:13" ht="14.5" x14ac:dyDescent="0.35">
      <c r="A7" s="502" t="s">
        <v>2221</v>
      </c>
      <c r="B7" s="502" t="s">
        <v>1872</v>
      </c>
      <c r="C7" s="434" t="s">
        <v>1873</v>
      </c>
      <c r="D7" s="502" t="s">
        <v>1594</v>
      </c>
      <c r="E7" s="502" t="s">
        <v>1639</v>
      </c>
      <c r="F7" s="501" t="s">
        <v>1874</v>
      </c>
      <c r="G7" s="528" t="s">
        <v>748</v>
      </c>
      <c r="H7" s="502" t="s">
        <v>1639</v>
      </c>
      <c r="I7" s="660" t="s">
        <v>1639</v>
      </c>
      <c r="J7" s="909"/>
      <c r="K7" s="910" t="s">
        <v>1839</v>
      </c>
      <c r="L7" s="909"/>
    </row>
  </sheetData>
  <autoFilter ref="A6:M19" xr:uid="{0D48034D-3CF7-434A-A740-C31ED3875186}"/>
  <phoneticPr fontId="55" type="noConversion"/>
  <conditionalFormatting sqref="C7">
    <cfRule type="expression" dxfId="17" priority="1">
      <formula>ROW()=RowVEN</formula>
    </cfRule>
  </conditionalFormatting>
  <dataValidations count="6">
    <dataValidation type="textLength" operator="lessThanOrEqual" allowBlank="1" showInputMessage="1" showErrorMessage="1" errorTitle="FactelExcel" error="Debe ingresar un valor correcto para esta celda" sqref="D7:E7" xr:uid="{D1D94A10-CBF4-4602-8A66-346E9BEB870B}">
      <formula1>300</formula1>
    </dataValidation>
    <dataValidation type="textLength" operator="lessThanOrEqual" allowBlank="1" showInputMessage="1" showErrorMessage="1" errorTitle="FactelExcel" error="Debe ingresar un valor correcto para el Numero de Identificacion" sqref="B7 A7" xr:uid="{80A874FE-81A5-4B7B-9018-75AA1F567195}">
      <formula1>20</formula1>
    </dataValidation>
    <dataValidation type="list" operator="lessThanOrEqual" allowBlank="1" showInputMessage="1" showErrorMessage="1" errorTitle="FactelExcel" error="Debe ingresar un valor correcto para esta celda" sqref="F7:F1048576" xr:uid="{97A363ED-7B63-424E-8D2D-F800E17B102F}">
      <formula1>"01-Persona Natural,02-Sociedad"</formula1>
    </dataValidation>
    <dataValidation type="list" operator="lessThanOrEqual" allowBlank="1" showInputMessage="1" showErrorMessage="1" errorTitle="FactelExcel" error="Debe ingresar un valor correcto para esta celda" sqref="G7:G1048576" xr:uid="{69138880-C6D9-4443-9C76-AEE997FD4DE0}">
      <formula1>"SI,NO"</formula1>
    </dataValidation>
    <dataValidation type="list" allowBlank="1" showInputMessage="1" showErrorMessage="1" sqref="K7:K1048576" xr:uid="{CD376078-9D29-494C-9E28-526AD1757CC9}">
      <formula1>"AMBOS,CLIENTE,PROVEEDOR"</formula1>
    </dataValidation>
    <dataValidation type="list" allowBlank="1" showInputMessage="1" showErrorMessage="1" sqref="C7:C1048576" xr:uid="{75654536-9769-4B71-BAD4-233C0D66526A}">
      <formula1>"R-Ruc,C-Cédula,F-Consumidor Final,P-Pasaporte,E-ID Exterior,M-Placa/RAMV/CPN"</formula1>
    </dataValidation>
  </dataValidations>
  <pageMargins left="0.75" right="0.75" top="0.39370078740157483" bottom="0.39370078740157483" header="0" footer="0"/>
  <pageSetup paperSize="9" scale="59" orientation="landscape" verticalDpi="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1"/>
  <dimension ref="A1:U1172"/>
  <sheetViews>
    <sheetView showGridLines="0" showRowColHeaders="0" tabSelected="1" zoomScaleNormal="100" workbookViewId="0">
      <selection activeCell="D4" sqref="D4"/>
    </sheetView>
  </sheetViews>
  <sheetFormatPr baseColWidth="10" defaultColWidth="10.81640625" defaultRowHeight="14.5" outlineLevelRow="1" x14ac:dyDescent="0.35"/>
  <cols>
    <col min="1" max="1" width="1.54296875" style="1" customWidth="1"/>
    <col min="2" max="2" width="1.1796875" style="1" customWidth="1"/>
    <col min="3" max="3" width="31.453125" style="1" customWidth="1"/>
    <col min="4" max="4" width="18.54296875" style="1" customWidth="1"/>
    <col min="5" max="9" width="16" style="1" customWidth="1"/>
    <col min="10" max="10" width="16.54296875" style="1" customWidth="1"/>
    <col min="11" max="11" width="6.1796875" style="2" hidden="1" customWidth="1"/>
    <col min="12" max="12" width="3.26953125" style="1" customWidth="1"/>
    <col min="13" max="13" width="1.54296875" style="1" customWidth="1"/>
    <col min="14" max="14" width="13" style="1" customWidth="1"/>
    <col min="15" max="15" width="13.1796875" style="1" customWidth="1"/>
    <col min="16" max="16" width="11.1796875" style="1" bestFit="1" customWidth="1"/>
    <col min="17" max="17" width="10.81640625" style="1"/>
    <col min="18" max="18" width="4" style="1" customWidth="1"/>
    <col min="19" max="19" width="10.81640625" style="779"/>
    <col min="20" max="16384" width="10.81640625" style="1"/>
  </cols>
  <sheetData>
    <row r="1" spans="2:21" ht="3.65" customHeight="1" thickBot="1" x14ac:dyDescent="0.4">
      <c r="B1" s="2"/>
    </row>
    <row r="2" spans="2:21" ht="31" customHeight="1" thickBot="1" x14ac:dyDescent="0.4">
      <c r="B2" s="524"/>
      <c r="C2" s="525" t="s">
        <v>1643</v>
      </c>
      <c r="D2" s="525"/>
      <c r="E2" s="525"/>
      <c r="F2" s="525"/>
      <c r="G2" s="525"/>
      <c r="H2" s="525"/>
      <c r="I2" s="525"/>
      <c r="J2" s="525"/>
      <c r="K2" s="527"/>
      <c r="L2" s="526"/>
      <c r="N2" s="917" t="s">
        <v>2284</v>
      </c>
      <c r="O2" s="918"/>
      <c r="P2" s="918"/>
      <c r="Q2" s="919"/>
      <c r="S2" s="917" t="s">
        <v>2285</v>
      </c>
      <c r="T2" s="918"/>
      <c r="U2" s="919"/>
    </row>
    <row r="3" spans="2:21" s="467" customFormat="1" ht="10.5" customHeight="1" thickTop="1" thickBot="1" x14ac:dyDescent="0.4">
      <c r="B3" s="767"/>
      <c r="C3" s="753"/>
      <c r="D3" s="662"/>
      <c r="E3" s="662"/>
      <c r="F3" s="662"/>
      <c r="G3" s="687"/>
      <c r="H3" s="687"/>
      <c r="I3" s="687"/>
      <c r="J3" s="689"/>
      <c r="K3" s="690"/>
      <c r="L3" s="691"/>
      <c r="N3" s="920" t="s">
        <v>2432</v>
      </c>
      <c r="O3" s="921"/>
      <c r="P3" s="921"/>
      <c r="Q3" s="922"/>
      <c r="S3" s="920" t="s">
        <v>2432</v>
      </c>
      <c r="T3" s="921"/>
      <c r="U3" s="922"/>
    </row>
    <row r="4" spans="2:21" s="467" customFormat="1" ht="15" customHeight="1" thickTop="1" thickBot="1" x14ac:dyDescent="0.4">
      <c r="B4" s="759" t="s">
        <v>1667</v>
      </c>
      <c r="C4" s="677" t="s">
        <v>1</v>
      </c>
      <c r="D4" s="663" t="s">
        <v>2411</v>
      </c>
      <c r="E4" s="663"/>
      <c r="F4" s="663"/>
      <c r="G4" s="684" t="s">
        <v>2</v>
      </c>
      <c r="H4" s="684"/>
      <c r="I4" s="684"/>
      <c r="J4" s="677"/>
      <c r="K4" s="692" t="s">
        <v>1896</v>
      </c>
      <c r="L4" s="693"/>
      <c r="N4" s="694" t="s">
        <v>2064</v>
      </c>
      <c r="O4" s="694" t="s">
        <v>2065</v>
      </c>
      <c r="P4" s="694" t="s">
        <v>2225</v>
      </c>
      <c r="Q4" s="694" t="s">
        <v>2066</v>
      </c>
      <c r="S4" s="694" t="s">
        <v>2064</v>
      </c>
      <c r="T4" s="694" t="s">
        <v>2065</v>
      </c>
      <c r="U4" s="694" t="s">
        <v>2286</v>
      </c>
    </row>
    <row r="5" spans="2:21" s="467" customFormat="1" ht="15" customHeight="1" thickTop="1" x14ac:dyDescent="0.35">
      <c r="B5" s="759" t="s">
        <v>1662</v>
      </c>
      <c r="C5" s="677" t="s">
        <v>3</v>
      </c>
      <c r="D5" s="663" t="s">
        <v>1541</v>
      </c>
      <c r="E5" s="663"/>
      <c r="F5" s="663"/>
      <c r="G5" s="684" t="s">
        <v>2</v>
      </c>
      <c r="H5" s="684"/>
      <c r="I5" s="684"/>
      <c r="J5" s="677"/>
      <c r="K5" s="692" t="s">
        <v>1896</v>
      </c>
      <c r="L5" s="693"/>
      <c r="N5" s="559">
        <v>0</v>
      </c>
      <c r="O5" s="560">
        <v>20000</v>
      </c>
      <c r="P5" s="560">
        <v>0</v>
      </c>
      <c r="Q5" s="561">
        <v>0</v>
      </c>
      <c r="S5" s="789">
        <v>0</v>
      </c>
      <c r="T5" s="790">
        <v>2500</v>
      </c>
      <c r="U5" s="791">
        <v>0</v>
      </c>
    </row>
    <row r="6" spans="2:21" s="467" customFormat="1" ht="15" customHeight="1" x14ac:dyDescent="0.35">
      <c r="B6" s="759" t="s">
        <v>1663</v>
      </c>
      <c r="C6" s="677" t="s">
        <v>4</v>
      </c>
      <c r="D6" s="663" t="s">
        <v>1043</v>
      </c>
      <c r="E6" s="663"/>
      <c r="F6" s="663"/>
      <c r="G6" s="684" t="s">
        <v>2</v>
      </c>
      <c r="H6" s="684"/>
      <c r="I6" s="684"/>
      <c r="J6" s="677"/>
      <c r="K6" s="692" t="s">
        <v>1896</v>
      </c>
      <c r="L6" s="693"/>
      <c r="N6" s="562">
        <f>O5+0.01</f>
        <v>20000.009999999998</v>
      </c>
      <c r="O6" s="563">
        <v>50000</v>
      </c>
      <c r="P6" s="563">
        <v>60</v>
      </c>
      <c r="Q6" s="564">
        <v>0.01</v>
      </c>
      <c r="S6" s="562">
        <f>T5+0.01</f>
        <v>2500.0100000000002</v>
      </c>
      <c r="T6" s="563">
        <v>5000</v>
      </c>
      <c r="U6" s="792">
        <v>5</v>
      </c>
    </row>
    <row r="7" spans="2:21" s="467" customFormat="1" ht="15" customHeight="1" x14ac:dyDescent="0.35">
      <c r="B7" s="759" t="s">
        <v>1664</v>
      </c>
      <c r="C7" s="677" t="s">
        <v>5</v>
      </c>
      <c r="D7" s="663" t="s">
        <v>2412</v>
      </c>
      <c r="E7" s="663"/>
      <c r="F7" s="663"/>
      <c r="G7" s="684" t="s">
        <v>2</v>
      </c>
      <c r="H7" s="684"/>
      <c r="I7" s="684"/>
      <c r="J7" s="677"/>
      <c r="K7" s="692" t="s">
        <v>1896</v>
      </c>
      <c r="L7" s="693"/>
      <c r="N7" s="562">
        <f t="shared" ref="N7:N10" si="0">O6+0.01</f>
        <v>50000.01</v>
      </c>
      <c r="O7" s="563">
        <f>+O6+25000</f>
        <v>75000</v>
      </c>
      <c r="P7" s="563">
        <v>360</v>
      </c>
      <c r="Q7" s="564">
        <v>1.2500000000000001E-2</v>
      </c>
      <c r="S7" s="562">
        <f t="shared" ref="S7:S9" si="1">T6+0.01</f>
        <v>5000.01</v>
      </c>
      <c r="T7" s="563">
        <v>10000</v>
      </c>
      <c r="U7" s="792">
        <v>15</v>
      </c>
    </row>
    <row r="8" spans="2:21" s="467" customFormat="1" ht="15" customHeight="1" x14ac:dyDescent="0.35">
      <c r="B8" s="759" t="s">
        <v>1665</v>
      </c>
      <c r="C8" s="677" t="s">
        <v>6</v>
      </c>
      <c r="D8" s="663" t="s">
        <v>1222</v>
      </c>
      <c r="E8" s="663"/>
      <c r="F8" s="663"/>
      <c r="G8" s="684" t="s">
        <v>2</v>
      </c>
      <c r="H8" s="684"/>
      <c r="I8" s="684"/>
      <c r="J8" s="677"/>
      <c r="K8" s="692" t="s">
        <v>1896</v>
      </c>
      <c r="L8" s="693"/>
      <c r="N8" s="562">
        <f t="shared" si="0"/>
        <v>75000.009999999995</v>
      </c>
      <c r="O8" s="563">
        <f t="shared" ref="O8" si="2">+O7+25000</f>
        <v>100000</v>
      </c>
      <c r="P8" s="563">
        <v>672.5</v>
      </c>
      <c r="Q8" s="564">
        <v>1.4999999999999999E-2</v>
      </c>
      <c r="S8" s="562">
        <f t="shared" si="1"/>
        <v>10000.01</v>
      </c>
      <c r="T8" s="563">
        <v>15000</v>
      </c>
      <c r="U8" s="792">
        <v>35</v>
      </c>
    </row>
    <row r="9" spans="2:21" s="467" customFormat="1" ht="15" customHeight="1" x14ac:dyDescent="0.35">
      <c r="B9" s="759" t="s">
        <v>1666</v>
      </c>
      <c r="C9" s="677" t="s">
        <v>7</v>
      </c>
      <c r="D9" s="663" t="s">
        <v>2412</v>
      </c>
      <c r="E9" s="663"/>
      <c r="F9" s="663"/>
      <c r="G9" s="684" t="s">
        <v>2</v>
      </c>
      <c r="H9" s="684"/>
      <c r="I9" s="684"/>
      <c r="J9" s="677"/>
      <c r="K9" s="692" t="s">
        <v>1896</v>
      </c>
      <c r="L9" s="693"/>
      <c r="N9" s="562">
        <f t="shared" si="0"/>
        <v>100000.01</v>
      </c>
      <c r="O9" s="563">
        <v>200000</v>
      </c>
      <c r="P9" s="563">
        <v>1047.5</v>
      </c>
      <c r="Q9" s="564">
        <v>1.7500000000000002E-2</v>
      </c>
      <c r="S9" s="562">
        <f t="shared" si="1"/>
        <v>15000.01</v>
      </c>
      <c r="T9" s="563">
        <v>20000</v>
      </c>
      <c r="U9" s="792">
        <v>60</v>
      </c>
    </row>
    <row r="10" spans="2:21" s="467" customFormat="1" ht="15" customHeight="1" x14ac:dyDescent="0.35">
      <c r="B10" s="759" t="s">
        <v>1668</v>
      </c>
      <c r="C10" s="677" t="s">
        <v>1094</v>
      </c>
      <c r="D10" s="663" t="s">
        <v>8</v>
      </c>
      <c r="E10" s="663"/>
      <c r="F10" s="663"/>
      <c r="G10" s="684" t="s">
        <v>1099</v>
      </c>
      <c r="H10" s="684"/>
      <c r="I10" s="684"/>
      <c r="J10" s="677"/>
      <c r="K10" s="692" t="s">
        <v>1896</v>
      </c>
      <c r="L10" s="693"/>
      <c r="N10" s="562">
        <f t="shared" si="0"/>
        <v>200000.01</v>
      </c>
      <c r="O10" s="563">
        <v>300000</v>
      </c>
      <c r="P10" s="563">
        <v>2797.52</v>
      </c>
      <c r="Q10" s="564">
        <v>0.02</v>
      </c>
      <c r="S10" s="780"/>
    </row>
    <row r="11" spans="2:21" s="467" customFormat="1" ht="15" customHeight="1" x14ac:dyDescent="0.35">
      <c r="B11" s="759" t="s">
        <v>1669</v>
      </c>
      <c r="C11" s="677" t="s">
        <v>1095</v>
      </c>
      <c r="D11" s="663"/>
      <c r="E11" s="663"/>
      <c r="F11" s="663"/>
      <c r="G11" s="684" t="s">
        <v>1100</v>
      </c>
      <c r="H11" s="684"/>
      <c r="I11" s="684"/>
      <c r="J11" s="677"/>
      <c r="K11" s="692" t="s">
        <v>1996</v>
      </c>
      <c r="L11" s="693"/>
      <c r="S11" s="780"/>
    </row>
    <row r="12" spans="2:21" s="467" customFormat="1" ht="15" customHeight="1" x14ac:dyDescent="0.35">
      <c r="B12" s="759" t="s">
        <v>1670</v>
      </c>
      <c r="C12" s="677" t="s">
        <v>1096</v>
      </c>
      <c r="D12" s="663"/>
      <c r="E12" s="663"/>
      <c r="F12" s="663"/>
      <c r="G12" s="684" t="s">
        <v>1101</v>
      </c>
      <c r="H12" s="684"/>
      <c r="I12" s="684"/>
      <c r="J12" s="677"/>
      <c r="K12" s="692" t="s">
        <v>1996</v>
      </c>
      <c r="L12" s="693"/>
      <c r="S12" s="780"/>
    </row>
    <row r="13" spans="2:21" s="467" customFormat="1" ht="15" hidden="1" customHeight="1" outlineLevel="1" x14ac:dyDescent="0.35">
      <c r="B13" s="759" t="s">
        <v>1671</v>
      </c>
      <c r="C13" s="677" t="s">
        <v>1097</v>
      </c>
      <c r="D13" s="663"/>
      <c r="E13" s="663"/>
      <c r="F13" s="663"/>
      <c r="G13" s="684" t="s">
        <v>1102</v>
      </c>
      <c r="H13" s="684"/>
      <c r="I13" s="684"/>
      <c r="J13" s="677"/>
      <c r="K13" s="692" t="s">
        <v>1996</v>
      </c>
      <c r="L13" s="693"/>
      <c r="S13" s="780"/>
    </row>
    <row r="14" spans="2:21" s="467" customFormat="1" ht="15" hidden="1" customHeight="1" outlineLevel="1" x14ac:dyDescent="0.35">
      <c r="B14" s="759" t="s">
        <v>1672</v>
      </c>
      <c r="C14" s="677" t="s">
        <v>1098</v>
      </c>
      <c r="D14" s="663"/>
      <c r="E14" s="663"/>
      <c r="F14" s="663"/>
      <c r="G14" s="684" t="s">
        <v>1103</v>
      </c>
      <c r="H14" s="684"/>
      <c r="I14" s="684"/>
      <c r="J14" s="677"/>
      <c r="K14" s="692" t="s">
        <v>1996</v>
      </c>
      <c r="L14" s="693"/>
      <c r="S14" s="780"/>
    </row>
    <row r="15" spans="2:21" s="467" customFormat="1" ht="15" hidden="1" customHeight="1" outlineLevel="1" x14ac:dyDescent="0.35">
      <c r="B15" s="759" t="s">
        <v>1673</v>
      </c>
      <c r="C15" s="677" t="s">
        <v>1224</v>
      </c>
      <c r="D15" s="663"/>
      <c r="E15" s="663"/>
      <c r="F15" s="663"/>
      <c r="G15" s="684" t="s">
        <v>1229</v>
      </c>
      <c r="H15" s="684"/>
      <c r="I15" s="684"/>
      <c r="J15" s="677"/>
      <c r="K15" s="692" t="s">
        <v>1996</v>
      </c>
      <c r="L15" s="693"/>
      <c r="S15" s="780"/>
    </row>
    <row r="16" spans="2:21" s="467" customFormat="1" ht="15" hidden="1" customHeight="1" outlineLevel="1" x14ac:dyDescent="0.35">
      <c r="B16" s="759" t="s">
        <v>1674</v>
      </c>
      <c r="C16" s="677" t="s">
        <v>1225</v>
      </c>
      <c r="D16" s="663"/>
      <c r="E16" s="663"/>
      <c r="F16" s="663"/>
      <c r="G16" s="684" t="s">
        <v>1230</v>
      </c>
      <c r="H16" s="684"/>
      <c r="I16" s="684"/>
      <c r="J16" s="677"/>
      <c r="K16" s="692" t="s">
        <v>1996</v>
      </c>
      <c r="L16" s="693"/>
      <c r="S16" s="780"/>
    </row>
    <row r="17" spans="2:19" s="467" customFormat="1" ht="15" hidden="1" customHeight="1" outlineLevel="1" x14ac:dyDescent="0.35">
      <c r="B17" s="759" t="s">
        <v>1675</v>
      </c>
      <c r="C17" s="677" t="s">
        <v>1226</v>
      </c>
      <c r="D17" s="663"/>
      <c r="E17" s="663"/>
      <c r="F17" s="663"/>
      <c r="G17" s="684" t="s">
        <v>1231</v>
      </c>
      <c r="H17" s="684"/>
      <c r="I17" s="684"/>
      <c r="J17" s="677"/>
      <c r="K17" s="692" t="s">
        <v>1996</v>
      </c>
      <c r="L17" s="693"/>
      <c r="S17" s="780"/>
    </row>
    <row r="18" spans="2:19" s="467" customFormat="1" ht="15" hidden="1" customHeight="1" outlineLevel="1" x14ac:dyDescent="0.35">
      <c r="B18" s="759" t="s">
        <v>1676</v>
      </c>
      <c r="C18" s="677" t="s">
        <v>1227</v>
      </c>
      <c r="D18" s="663"/>
      <c r="E18" s="663"/>
      <c r="F18" s="663"/>
      <c r="G18" s="684" t="s">
        <v>1232</v>
      </c>
      <c r="H18" s="684"/>
      <c r="I18" s="684"/>
      <c r="J18" s="677"/>
      <c r="K18" s="692" t="s">
        <v>1996</v>
      </c>
      <c r="L18" s="693"/>
      <c r="S18" s="780"/>
    </row>
    <row r="19" spans="2:19" s="467" customFormat="1" ht="15" hidden="1" customHeight="1" outlineLevel="1" x14ac:dyDescent="0.35">
      <c r="B19" s="759" t="s">
        <v>1677</v>
      </c>
      <c r="C19" s="677" t="s">
        <v>1228</v>
      </c>
      <c r="D19" s="663"/>
      <c r="E19" s="663"/>
      <c r="F19" s="663"/>
      <c r="G19" s="684" t="s">
        <v>1233</v>
      </c>
      <c r="H19" s="684"/>
      <c r="I19" s="684"/>
      <c r="J19" s="677"/>
      <c r="K19" s="692" t="s">
        <v>1996</v>
      </c>
      <c r="L19" s="693"/>
      <c r="S19" s="780"/>
    </row>
    <row r="20" spans="2:19" s="467" customFormat="1" ht="15" customHeight="1" collapsed="1" x14ac:dyDescent="0.35">
      <c r="B20" s="759" t="s">
        <v>1678</v>
      </c>
      <c r="C20" s="677" t="s">
        <v>1336</v>
      </c>
      <c r="D20" s="667">
        <v>2025</v>
      </c>
      <c r="E20" s="667"/>
      <c r="F20" s="667"/>
      <c r="G20" s="685" t="s">
        <v>2</v>
      </c>
      <c r="H20" s="685"/>
      <c r="I20" s="685"/>
      <c r="J20" s="677"/>
      <c r="K20" s="692" t="s">
        <v>1896</v>
      </c>
      <c r="L20" s="693"/>
      <c r="S20" s="780"/>
    </row>
    <row r="21" spans="2:19" s="467" customFormat="1" ht="15" customHeight="1" x14ac:dyDescent="0.35">
      <c r="B21" s="759" t="s">
        <v>2186</v>
      </c>
      <c r="C21" s="677" t="s">
        <v>2187</v>
      </c>
      <c r="D21" s="667" t="s">
        <v>2188</v>
      </c>
      <c r="E21" s="663"/>
      <c r="F21" s="663"/>
      <c r="G21" s="685" t="s">
        <v>2</v>
      </c>
      <c r="H21" s="684"/>
      <c r="I21" s="684"/>
      <c r="J21" s="677"/>
      <c r="K21" s="692" t="s">
        <v>1896</v>
      </c>
      <c r="L21" s="693"/>
      <c r="S21" s="780"/>
    </row>
    <row r="22" spans="2:19" s="467" customFormat="1" ht="6" customHeight="1" x14ac:dyDescent="0.35">
      <c r="B22" s="759"/>
      <c r="C22" s="677"/>
      <c r="D22" s="663"/>
      <c r="E22" s="663"/>
      <c r="F22" s="663"/>
      <c r="G22" s="684"/>
      <c r="H22" s="684"/>
      <c r="I22" s="684"/>
      <c r="J22" s="677"/>
      <c r="K22" s="692"/>
      <c r="L22" s="693"/>
      <c r="S22" s="780"/>
    </row>
    <row r="23" spans="2:19" x14ac:dyDescent="0.35">
      <c r="B23" s="672"/>
      <c r="C23" s="754" t="s">
        <v>1646</v>
      </c>
      <c r="D23" s="673"/>
      <c r="E23" s="673"/>
      <c r="F23" s="673"/>
      <c r="G23" s="686"/>
      <c r="H23" s="673"/>
      <c r="I23" s="673"/>
      <c r="J23" s="673"/>
      <c r="K23" s="703"/>
      <c r="L23" s="675"/>
    </row>
    <row r="24" spans="2:19" s="467" customFormat="1" ht="15" customHeight="1" x14ac:dyDescent="0.35">
      <c r="B24" s="759" t="s">
        <v>1683</v>
      </c>
      <c r="C24" s="677" t="s">
        <v>1645</v>
      </c>
      <c r="D24" s="669" t="s">
        <v>2256</v>
      </c>
      <c r="E24" s="669"/>
      <c r="F24" s="669"/>
      <c r="G24" s="682" t="s">
        <v>9</v>
      </c>
      <c r="H24" s="682"/>
      <c r="I24" s="682"/>
      <c r="J24" s="685"/>
      <c r="K24" s="692" t="s">
        <v>1896</v>
      </c>
      <c r="L24" s="695"/>
      <c r="M24" s="1"/>
      <c r="N24" s="1"/>
      <c r="O24" s="1"/>
      <c r="P24" s="1"/>
      <c r="Q24" s="1"/>
      <c r="R24" s="1"/>
      <c r="S24" s="780"/>
    </row>
    <row r="25" spans="2:19" s="467" customFormat="1" ht="15" customHeight="1" x14ac:dyDescent="0.35">
      <c r="B25" s="759" t="s">
        <v>1684</v>
      </c>
      <c r="C25" s="677" t="s">
        <v>1644</v>
      </c>
      <c r="D25" s="663" t="s">
        <v>1223</v>
      </c>
      <c r="E25" s="663"/>
      <c r="F25" s="663"/>
      <c r="G25" s="684" t="s">
        <v>10</v>
      </c>
      <c r="H25" s="684"/>
      <c r="I25" s="684"/>
      <c r="J25" s="685"/>
      <c r="K25" s="692" t="s">
        <v>1896</v>
      </c>
      <c r="L25" s="695"/>
      <c r="M25" s="1"/>
      <c r="N25" s="1"/>
      <c r="O25" s="1"/>
      <c r="P25" s="1"/>
      <c r="Q25" s="1"/>
      <c r="R25" s="1"/>
      <c r="S25" s="780"/>
    </row>
    <row r="26" spans="2:19" s="467" customFormat="1" ht="15" customHeight="1" x14ac:dyDescent="0.35">
      <c r="B26" s="759" t="s">
        <v>1685</v>
      </c>
      <c r="C26" s="677" t="s">
        <v>1647</v>
      </c>
      <c r="D26" s="663" t="s">
        <v>2409</v>
      </c>
      <c r="E26" s="663"/>
      <c r="F26" s="663"/>
      <c r="G26" s="684" t="s">
        <v>1680</v>
      </c>
      <c r="H26" s="684"/>
      <c r="I26" s="684"/>
      <c r="J26" s="685"/>
      <c r="K26" s="692" t="s">
        <v>1896</v>
      </c>
      <c r="L26" s="695"/>
      <c r="M26" s="1"/>
      <c r="N26" s="1"/>
      <c r="O26" s="1"/>
      <c r="P26" s="1"/>
      <c r="Q26" s="1"/>
      <c r="R26" s="1"/>
      <c r="S26" s="780"/>
    </row>
    <row r="27" spans="2:19" s="467" customFormat="1" ht="15" hidden="1" customHeight="1" outlineLevel="1" x14ac:dyDescent="0.35">
      <c r="B27" s="759" t="s">
        <v>2081</v>
      </c>
      <c r="C27" s="677" t="s">
        <v>2083</v>
      </c>
      <c r="D27" s="663"/>
      <c r="E27" s="663"/>
      <c r="F27" s="663"/>
      <c r="G27" s="684" t="s">
        <v>2088</v>
      </c>
      <c r="H27" s="684"/>
      <c r="I27" s="684"/>
      <c r="J27" s="685"/>
      <c r="K27" s="692" t="s">
        <v>1996</v>
      </c>
      <c r="L27" s="695"/>
      <c r="M27" s="1"/>
      <c r="N27" s="1"/>
      <c r="O27" s="1"/>
      <c r="P27" s="1"/>
      <c r="Q27" s="1"/>
      <c r="R27" s="1"/>
      <c r="S27" s="780"/>
    </row>
    <row r="28" spans="2:19" s="467" customFormat="1" ht="15" hidden="1" customHeight="1" outlineLevel="1" x14ac:dyDescent="0.35">
      <c r="B28" s="759" t="s">
        <v>2082</v>
      </c>
      <c r="C28" s="677" t="s">
        <v>2084</v>
      </c>
      <c r="D28" s="663"/>
      <c r="E28" s="663"/>
      <c r="F28" s="663"/>
      <c r="G28" s="684" t="s">
        <v>2087</v>
      </c>
      <c r="H28" s="684"/>
      <c r="I28" s="684"/>
      <c r="J28" s="685"/>
      <c r="K28" s="692" t="s">
        <v>1996</v>
      </c>
      <c r="L28" s="695"/>
      <c r="M28" s="1"/>
      <c r="N28" s="1"/>
      <c r="O28" s="1"/>
      <c r="P28" s="1"/>
      <c r="Q28" s="1"/>
      <c r="R28" s="1"/>
      <c r="S28" s="780"/>
    </row>
    <row r="29" spans="2:19" s="467" customFormat="1" ht="15" hidden="1" customHeight="1" outlineLevel="1" x14ac:dyDescent="0.35">
      <c r="B29" s="759" t="s">
        <v>2080</v>
      </c>
      <c r="C29" s="677" t="s">
        <v>2085</v>
      </c>
      <c r="D29" s="663"/>
      <c r="E29" s="663"/>
      <c r="F29" s="663"/>
      <c r="G29" s="684" t="s">
        <v>2086</v>
      </c>
      <c r="H29" s="684"/>
      <c r="I29" s="684"/>
      <c r="J29" s="685"/>
      <c r="K29" s="692" t="s">
        <v>1996</v>
      </c>
      <c r="L29" s="695"/>
      <c r="M29" s="1"/>
      <c r="N29" s="1"/>
      <c r="O29" s="1"/>
      <c r="P29" s="1"/>
      <c r="Q29" s="1"/>
      <c r="R29" s="1"/>
      <c r="S29" s="780"/>
    </row>
    <row r="30" spans="2:19" s="467" customFormat="1" ht="14.5" customHeight="1" collapsed="1" thickBot="1" x14ac:dyDescent="0.4">
      <c r="B30" s="763"/>
      <c r="C30" s="688"/>
      <c r="D30" s="670"/>
      <c r="E30" s="670"/>
      <c r="F30" s="670"/>
      <c r="G30" s="688"/>
      <c r="H30" s="688"/>
      <c r="I30" s="688"/>
      <c r="J30" s="696"/>
      <c r="K30" s="697"/>
      <c r="L30" s="698"/>
      <c r="M30" s="1"/>
      <c r="N30" s="1"/>
      <c r="O30" s="1"/>
      <c r="P30" s="1"/>
      <c r="Q30" s="1"/>
      <c r="R30" s="1"/>
      <c r="S30" s="780"/>
    </row>
    <row r="31" spans="2:19" s="467" customFormat="1" ht="15" customHeight="1" thickBot="1" x14ac:dyDescent="0.4">
      <c r="K31" s="468"/>
      <c r="S31" s="780"/>
    </row>
    <row r="32" spans="2:19" ht="23" thickBot="1" x14ac:dyDescent="0.4">
      <c r="B32" s="524"/>
      <c r="C32" s="525" t="s">
        <v>1648</v>
      </c>
      <c r="D32" s="525"/>
      <c r="E32" s="525"/>
      <c r="F32" s="525"/>
      <c r="G32" s="525"/>
      <c r="H32" s="525"/>
      <c r="I32" s="525"/>
      <c r="J32" s="525"/>
      <c r="K32" s="527"/>
      <c r="L32" s="526"/>
    </row>
    <row r="33" spans="2:19" s="467" customFormat="1" ht="6" customHeight="1" thickTop="1" x14ac:dyDescent="0.35">
      <c r="B33" s="759"/>
      <c r="C33" s="677"/>
      <c r="D33" s="667"/>
      <c r="E33" s="667"/>
      <c r="F33" s="667"/>
      <c r="G33" s="685"/>
      <c r="H33" s="685"/>
      <c r="I33" s="685"/>
      <c r="J33" s="685"/>
      <c r="K33" s="692"/>
      <c r="L33" s="695"/>
      <c r="S33" s="780"/>
    </row>
    <row r="34" spans="2:19" x14ac:dyDescent="0.35">
      <c r="B34" s="672"/>
      <c r="C34" s="754" t="s">
        <v>1649</v>
      </c>
      <c r="D34" s="673"/>
      <c r="E34" s="673"/>
      <c r="F34" s="673"/>
      <c r="G34" s="673"/>
      <c r="H34" s="673"/>
      <c r="I34" s="673"/>
      <c r="J34" s="673"/>
      <c r="K34" s="703"/>
      <c r="L34" s="675"/>
    </row>
    <row r="35" spans="2:19" s="467" customFormat="1" ht="15" hidden="1" customHeight="1" outlineLevel="1" x14ac:dyDescent="0.35">
      <c r="B35" s="759" t="s">
        <v>1686</v>
      </c>
      <c r="C35" s="677" t="s">
        <v>1629</v>
      </c>
      <c r="D35" s="669" t="s">
        <v>2236</v>
      </c>
      <c r="E35" s="669"/>
      <c r="F35" s="669"/>
      <c r="G35" s="682" t="s">
        <v>2</v>
      </c>
      <c r="H35" s="682"/>
      <c r="I35" s="682"/>
      <c r="J35" s="682"/>
      <c r="K35" s="704" t="s">
        <v>1996</v>
      </c>
      <c r="L35" s="699"/>
      <c r="S35" s="780"/>
    </row>
    <row r="36" spans="2:19" s="467" customFormat="1" ht="15" hidden="1" customHeight="1" outlineLevel="1" x14ac:dyDescent="0.35">
      <c r="B36" s="759" t="s">
        <v>1687</v>
      </c>
      <c r="C36" s="677" t="s">
        <v>1630</v>
      </c>
      <c r="D36" s="669" t="s">
        <v>1593</v>
      </c>
      <c r="E36" s="669"/>
      <c r="F36" s="669"/>
      <c r="G36" s="682" t="s">
        <v>2</v>
      </c>
      <c r="H36" s="682"/>
      <c r="I36" s="682"/>
      <c r="J36" s="682"/>
      <c r="K36" s="704" t="s">
        <v>1996</v>
      </c>
      <c r="L36" s="699"/>
      <c r="S36" s="780"/>
    </row>
    <row r="37" spans="2:19" s="467" customFormat="1" ht="15" hidden="1" customHeight="1" outlineLevel="1" x14ac:dyDescent="0.35">
      <c r="B37" s="759" t="s">
        <v>1688</v>
      </c>
      <c r="C37" s="677" t="s">
        <v>1631</v>
      </c>
      <c r="D37" s="669" t="s">
        <v>2237</v>
      </c>
      <c r="E37" s="669"/>
      <c r="F37" s="669"/>
      <c r="G37" s="682" t="s">
        <v>2</v>
      </c>
      <c r="H37" s="682"/>
      <c r="I37" s="682"/>
      <c r="J37" s="682"/>
      <c r="K37" s="704" t="s">
        <v>1996</v>
      </c>
      <c r="L37" s="699"/>
      <c r="S37" s="780"/>
    </row>
    <row r="38" spans="2:19" s="467" customFormat="1" ht="15" hidden="1" customHeight="1" outlineLevel="1" x14ac:dyDescent="0.35">
      <c r="B38" s="759" t="s">
        <v>1689</v>
      </c>
      <c r="C38" s="677" t="s">
        <v>1641</v>
      </c>
      <c r="D38" s="706" t="s">
        <v>2244</v>
      </c>
      <c r="E38" s="669"/>
      <c r="F38" s="669"/>
      <c r="G38" s="682" t="s">
        <v>2</v>
      </c>
      <c r="H38" s="682"/>
      <c r="I38" s="682"/>
      <c r="J38" s="682"/>
      <c r="K38" s="704" t="s">
        <v>1996</v>
      </c>
      <c r="L38" s="699"/>
      <c r="S38" s="780"/>
    </row>
    <row r="39" spans="2:19" s="467" customFormat="1" ht="15" hidden="1" customHeight="1" outlineLevel="1" x14ac:dyDescent="0.35">
      <c r="B39" s="759" t="s">
        <v>1961</v>
      </c>
      <c r="C39" s="677" t="s">
        <v>1960</v>
      </c>
      <c r="D39" s="669" t="s">
        <v>2226</v>
      </c>
      <c r="E39" s="669"/>
      <c r="F39" s="669"/>
      <c r="G39" s="682" t="s">
        <v>2</v>
      </c>
      <c r="H39" s="682"/>
      <c r="I39" s="682"/>
      <c r="J39" s="682"/>
      <c r="K39" s="704" t="s">
        <v>1996</v>
      </c>
      <c r="L39" s="699"/>
      <c r="S39" s="780"/>
    </row>
    <row r="40" spans="2:19" s="467" customFormat="1" ht="15" hidden="1" customHeight="1" outlineLevel="1" x14ac:dyDescent="0.35">
      <c r="B40" s="759" t="s">
        <v>1691</v>
      </c>
      <c r="C40" s="677" t="s">
        <v>1632</v>
      </c>
      <c r="D40" s="669"/>
      <c r="E40" s="669"/>
      <c r="F40" s="669"/>
      <c r="G40" s="682" t="s">
        <v>2</v>
      </c>
      <c r="H40" s="682"/>
      <c r="I40" s="682"/>
      <c r="J40" s="682"/>
      <c r="K40" s="704" t="s">
        <v>1996</v>
      </c>
      <c r="L40" s="699"/>
      <c r="S40" s="780"/>
    </row>
    <row r="41" spans="2:19" s="467" customFormat="1" ht="15" hidden="1" customHeight="1" outlineLevel="1" x14ac:dyDescent="0.35">
      <c r="B41" s="759" t="s">
        <v>1692</v>
      </c>
      <c r="C41" s="677" t="s">
        <v>1635</v>
      </c>
      <c r="D41" s="669"/>
      <c r="E41" s="669"/>
      <c r="F41" s="669"/>
      <c r="G41" s="682" t="s">
        <v>2</v>
      </c>
      <c r="H41" s="682"/>
      <c r="I41" s="682"/>
      <c r="J41" s="682"/>
      <c r="K41" s="704" t="s">
        <v>1996</v>
      </c>
      <c r="L41" s="699"/>
      <c r="S41" s="780"/>
    </row>
    <row r="42" spans="2:19" s="467" customFormat="1" ht="15" hidden="1" customHeight="1" outlineLevel="1" x14ac:dyDescent="0.35">
      <c r="B42" s="759" t="s">
        <v>1690</v>
      </c>
      <c r="C42" s="677" t="s">
        <v>1633</v>
      </c>
      <c r="D42" s="669" t="s">
        <v>748</v>
      </c>
      <c r="E42" s="669"/>
      <c r="F42" s="669"/>
      <c r="G42" s="682" t="s">
        <v>2</v>
      </c>
      <c r="H42" s="682"/>
      <c r="I42" s="682"/>
      <c r="J42" s="682"/>
      <c r="K42" s="704" t="s">
        <v>1996</v>
      </c>
      <c r="L42" s="699"/>
      <c r="S42" s="780"/>
    </row>
    <row r="43" spans="2:19" s="467" customFormat="1" ht="15" hidden="1" customHeight="1" outlineLevel="1" x14ac:dyDescent="0.35">
      <c r="B43" s="759" t="s">
        <v>1693</v>
      </c>
      <c r="C43" s="677" t="s">
        <v>1659</v>
      </c>
      <c r="D43" s="669" t="s">
        <v>748</v>
      </c>
      <c r="E43" s="669"/>
      <c r="F43" s="669"/>
      <c r="G43" s="682" t="s">
        <v>2</v>
      </c>
      <c r="H43" s="682"/>
      <c r="I43" s="682"/>
      <c r="J43" s="682"/>
      <c r="K43" s="704" t="s">
        <v>1996</v>
      </c>
      <c r="L43" s="699"/>
      <c r="S43" s="780"/>
    </row>
    <row r="44" spans="2:19" s="467" customFormat="1" ht="15" hidden="1" customHeight="1" outlineLevel="1" x14ac:dyDescent="0.35">
      <c r="B44" s="759" t="s">
        <v>1694</v>
      </c>
      <c r="C44" s="677" t="s">
        <v>1660</v>
      </c>
      <c r="D44" s="676" t="s">
        <v>1458</v>
      </c>
      <c r="E44" s="676"/>
      <c r="F44" s="676"/>
      <c r="G44" s="700" t="s">
        <v>2</v>
      </c>
      <c r="H44" s="700"/>
      <c r="I44" s="700"/>
      <c r="J44" s="700"/>
      <c r="K44" s="704" t="s">
        <v>1996</v>
      </c>
      <c r="L44" s="701"/>
      <c r="S44" s="780"/>
    </row>
    <row r="45" spans="2:19" s="467" customFormat="1" ht="15" hidden="1" customHeight="1" outlineLevel="1" x14ac:dyDescent="0.35">
      <c r="B45" s="759" t="s">
        <v>1718</v>
      </c>
      <c r="C45" s="677" t="s">
        <v>1719</v>
      </c>
      <c r="D45" s="676" t="s">
        <v>622</v>
      </c>
      <c r="E45" s="676"/>
      <c r="F45" s="676"/>
      <c r="G45" s="700" t="s">
        <v>2</v>
      </c>
      <c r="H45" s="700"/>
      <c r="I45" s="700"/>
      <c r="J45" s="700"/>
      <c r="K45" s="704" t="s">
        <v>1996</v>
      </c>
      <c r="L45" s="701"/>
      <c r="S45" s="780"/>
    </row>
    <row r="46" spans="2:19" s="467" customFormat="1" ht="15" hidden="1" customHeight="1" outlineLevel="1" x14ac:dyDescent="0.35">
      <c r="B46" s="759" t="s">
        <v>1695</v>
      </c>
      <c r="C46" s="677" t="s">
        <v>1661</v>
      </c>
      <c r="D46" s="669" t="s">
        <v>1634</v>
      </c>
      <c r="E46" s="669"/>
      <c r="F46" s="669"/>
      <c r="G46" s="682" t="s">
        <v>2</v>
      </c>
      <c r="H46" s="682"/>
      <c r="I46" s="682"/>
      <c r="J46" s="682"/>
      <c r="K46" s="704" t="s">
        <v>1996</v>
      </c>
      <c r="L46" s="699"/>
      <c r="S46" s="780"/>
    </row>
    <row r="47" spans="2:19" s="467" customFormat="1" ht="6" hidden="1" customHeight="1" outlineLevel="1" x14ac:dyDescent="0.35">
      <c r="B47" s="759"/>
      <c r="C47" s="677"/>
      <c r="D47" s="676"/>
      <c r="E47" s="676"/>
      <c r="F47" s="676"/>
      <c r="G47" s="700"/>
      <c r="H47" s="700"/>
      <c r="I47" s="700"/>
      <c r="J47" s="700"/>
      <c r="K47" s="704"/>
      <c r="L47" s="701"/>
      <c r="S47" s="780"/>
    </row>
    <row r="48" spans="2:19" collapsed="1" x14ac:dyDescent="0.35">
      <c r="B48" s="672"/>
      <c r="C48" s="754" t="s">
        <v>2227</v>
      </c>
      <c r="D48" s="673"/>
      <c r="E48" s="673"/>
      <c r="F48" s="673"/>
      <c r="G48" s="673"/>
      <c r="H48" s="673"/>
      <c r="I48" s="673"/>
      <c r="J48" s="673"/>
      <c r="K48" s="703"/>
      <c r="L48" s="675"/>
    </row>
    <row r="49" spans="1:19" s="467" customFormat="1" ht="15" hidden="1" customHeight="1" outlineLevel="1" x14ac:dyDescent="0.35">
      <c r="B49" s="759" t="s">
        <v>2025</v>
      </c>
      <c r="C49" s="677" t="s">
        <v>2023</v>
      </c>
      <c r="D49" s="678" t="s">
        <v>2180</v>
      </c>
      <c r="E49" s="678" t="s">
        <v>2181</v>
      </c>
      <c r="F49" s="678" t="s">
        <v>2182</v>
      </c>
      <c r="G49" s="678" t="s">
        <v>2183</v>
      </c>
      <c r="H49" s="678" t="s">
        <v>2184</v>
      </c>
      <c r="I49" s="678" t="s">
        <v>2185</v>
      </c>
      <c r="J49" s="678"/>
      <c r="K49" s="692" t="s">
        <v>1996</v>
      </c>
      <c r="L49" s="679"/>
      <c r="S49" s="780"/>
    </row>
    <row r="50" spans="1:19" s="467" customFormat="1" ht="15" hidden="1" customHeight="1" outlineLevel="1" x14ac:dyDescent="0.35">
      <c r="A50" s="467" t="s">
        <v>2022</v>
      </c>
      <c r="B50" s="759" t="s">
        <v>2024</v>
      </c>
      <c r="C50" s="677" t="s">
        <v>2021</v>
      </c>
      <c r="D50" s="678" t="s">
        <v>2026</v>
      </c>
      <c r="E50" s="678" t="s">
        <v>2027</v>
      </c>
      <c r="F50" s="678" t="s">
        <v>2028</v>
      </c>
      <c r="G50" s="678" t="s">
        <v>2029</v>
      </c>
      <c r="H50" s="678" t="s">
        <v>2030</v>
      </c>
      <c r="I50" s="678" t="s">
        <v>2031</v>
      </c>
      <c r="J50" s="678"/>
      <c r="K50" s="692" t="s">
        <v>1996</v>
      </c>
      <c r="L50" s="679"/>
      <c r="S50" s="780"/>
    </row>
    <row r="51" spans="1:19" s="467" customFormat="1" ht="15" hidden="1" customHeight="1" outlineLevel="1" x14ac:dyDescent="0.35">
      <c r="B51" s="766"/>
      <c r="C51" s="664" t="s">
        <v>1739</v>
      </c>
      <c r="D51" s="665" t="s">
        <v>1731</v>
      </c>
      <c r="E51" s="665" t="s">
        <v>1732</v>
      </c>
      <c r="F51" s="665" t="s">
        <v>1733</v>
      </c>
      <c r="G51" s="665" t="s">
        <v>1734</v>
      </c>
      <c r="H51" s="665" t="s">
        <v>1735</v>
      </c>
      <c r="I51" s="665" t="s">
        <v>1736</v>
      </c>
      <c r="J51" s="668" t="s">
        <v>1741</v>
      </c>
      <c r="K51" s="668"/>
      <c r="L51" s="680"/>
      <c r="S51" s="780"/>
    </row>
    <row r="52" spans="1:19" s="467" customFormat="1" ht="15" hidden="1" customHeight="1" outlineLevel="1" x14ac:dyDescent="0.35">
      <c r="B52" s="759" t="s">
        <v>1738</v>
      </c>
      <c r="C52" s="677" t="s">
        <v>2252</v>
      </c>
      <c r="D52" s="678">
        <v>1</v>
      </c>
      <c r="E52" s="678">
        <v>1</v>
      </c>
      <c r="F52" s="678">
        <v>1</v>
      </c>
      <c r="G52" s="678">
        <v>1</v>
      </c>
      <c r="H52" s="678">
        <v>1</v>
      </c>
      <c r="I52" s="678">
        <v>1</v>
      </c>
      <c r="J52" s="752" t="s">
        <v>2253</v>
      </c>
      <c r="K52" s="692" t="s">
        <v>1996</v>
      </c>
      <c r="L52" s="679"/>
      <c r="S52" s="780"/>
    </row>
    <row r="53" spans="1:19" s="467" customFormat="1" ht="15" hidden="1" customHeight="1" outlineLevel="1" x14ac:dyDescent="0.35">
      <c r="B53" s="759" t="s">
        <v>1696</v>
      </c>
      <c r="C53" s="677"/>
      <c r="D53" s="678">
        <v>1</v>
      </c>
      <c r="E53" s="678">
        <v>1</v>
      </c>
      <c r="F53" s="678">
        <v>1</v>
      </c>
      <c r="G53" s="678">
        <v>1</v>
      </c>
      <c r="H53" s="678">
        <v>1</v>
      </c>
      <c r="I53" s="678">
        <v>1</v>
      </c>
      <c r="J53" s="752"/>
      <c r="K53" s="692" t="s">
        <v>1996</v>
      </c>
      <c r="L53" s="679"/>
      <c r="S53" s="780"/>
    </row>
    <row r="54" spans="1:19" s="467" customFormat="1" ht="15" hidden="1" customHeight="1" outlineLevel="1" x14ac:dyDescent="0.35">
      <c r="B54" s="759" t="s">
        <v>1737</v>
      </c>
      <c r="C54" s="677"/>
      <c r="D54" s="678">
        <v>1</v>
      </c>
      <c r="E54" s="678">
        <v>1</v>
      </c>
      <c r="F54" s="678">
        <v>1</v>
      </c>
      <c r="G54" s="678">
        <v>1</v>
      </c>
      <c r="H54" s="678">
        <v>1</v>
      </c>
      <c r="I54" s="678">
        <v>1</v>
      </c>
      <c r="J54" s="752"/>
      <c r="K54" s="692" t="s">
        <v>1996</v>
      </c>
      <c r="L54" s="679"/>
      <c r="S54" s="780"/>
    </row>
    <row r="55" spans="1:19" s="467" customFormat="1" ht="15" hidden="1" customHeight="1" outlineLevel="1" x14ac:dyDescent="0.35">
      <c r="B55" s="759" t="s">
        <v>1697</v>
      </c>
      <c r="C55" s="677"/>
      <c r="D55" s="678">
        <v>1</v>
      </c>
      <c r="E55" s="678">
        <v>1</v>
      </c>
      <c r="F55" s="678">
        <v>1</v>
      </c>
      <c r="G55" s="678">
        <v>1</v>
      </c>
      <c r="H55" s="678">
        <v>1</v>
      </c>
      <c r="I55" s="678">
        <v>1</v>
      </c>
      <c r="J55" s="752"/>
      <c r="K55" s="692" t="s">
        <v>1996</v>
      </c>
      <c r="L55" s="679"/>
      <c r="S55" s="780"/>
    </row>
    <row r="56" spans="1:19" s="467" customFormat="1" ht="15" hidden="1" customHeight="1" outlineLevel="1" x14ac:dyDescent="0.35">
      <c r="B56" s="759" t="s">
        <v>1698</v>
      </c>
      <c r="C56" s="677"/>
      <c r="D56" s="678">
        <v>1</v>
      </c>
      <c r="E56" s="678">
        <v>1</v>
      </c>
      <c r="F56" s="678">
        <v>1</v>
      </c>
      <c r="G56" s="678">
        <v>1</v>
      </c>
      <c r="H56" s="678">
        <v>1</v>
      </c>
      <c r="I56" s="678">
        <v>1</v>
      </c>
      <c r="J56" s="752"/>
      <c r="K56" s="692" t="s">
        <v>1996</v>
      </c>
      <c r="L56" s="679"/>
      <c r="S56" s="780"/>
    </row>
    <row r="57" spans="1:19" s="467" customFormat="1" ht="15" hidden="1" customHeight="1" outlineLevel="1" x14ac:dyDescent="0.35">
      <c r="B57" s="759" t="s">
        <v>1699</v>
      </c>
      <c r="C57" s="677"/>
      <c r="D57" s="678">
        <v>1</v>
      </c>
      <c r="E57" s="678">
        <v>1</v>
      </c>
      <c r="F57" s="678">
        <v>1</v>
      </c>
      <c r="G57" s="678">
        <v>1</v>
      </c>
      <c r="H57" s="678">
        <v>1</v>
      </c>
      <c r="I57" s="678">
        <v>1</v>
      </c>
      <c r="J57" s="752"/>
      <c r="K57" s="692" t="s">
        <v>1996</v>
      </c>
      <c r="L57" s="679"/>
      <c r="S57" s="780"/>
    </row>
    <row r="58" spans="1:19" s="467" customFormat="1" ht="15" hidden="1" customHeight="1" outlineLevel="1" x14ac:dyDescent="0.35">
      <c r="B58" s="759" t="s">
        <v>2228</v>
      </c>
      <c r="C58" s="677"/>
      <c r="D58" s="678">
        <v>1</v>
      </c>
      <c r="E58" s="678">
        <v>1</v>
      </c>
      <c r="F58" s="678">
        <v>1</v>
      </c>
      <c r="G58" s="678">
        <v>1</v>
      </c>
      <c r="H58" s="678">
        <v>1</v>
      </c>
      <c r="I58" s="678">
        <v>1</v>
      </c>
      <c r="J58" s="752"/>
      <c r="K58" s="692" t="s">
        <v>1996</v>
      </c>
      <c r="L58" s="679"/>
      <c r="S58" s="780"/>
    </row>
    <row r="59" spans="1:19" s="467" customFormat="1" ht="15" hidden="1" customHeight="1" outlineLevel="1" x14ac:dyDescent="0.35">
      <c r="B59" s="759" t="s">
        <v>2229</v>
      </c>
      <c r="C59" s="677"/>
      <c r="D59" s="678">
        <v>1</v>
      </c>
      <c r="E59" s="678">
        <v>1</v>
      </c>
      <c r="F59" s="678">
        <v>1</v>
      </c>
      <c r="G59" s="678">
        <v>1</v>
      </c>
      <c r="H59" s="678">
        <v>1</v>
      </c>
      <c r="I59" s="678">
        <v>1</v>
      </c>
      <c r="J59" s="752"/>
      <c r="K59" s="692" t="s">
        <v>1996</v>
      </c>
      <c r="L59" s="679"/>
      <c r="S59" s="780"/>
    </row>
    <row r="60" spans="1:19" s="467" customFormat="1" ht="15" hidden="1" customHeight="1" outlineLevel="1" x14ac:dyDescent="0.35">
      <c r="B60" s="759" t="s">
        <v>2230</v>
      </c>
      <c r="C60" s="677"/>
      <c r="D60" s="678">
        <v>1</v>
      </c>
      <c r="E60" s="678">
        <v>1</v>
      </c>
      <c r="F60" s="678">
        <v>1</v>
      </c>
      <c r="G60" s="678">
        <v>1</v>
      </c>
      <c r="H60" s="678">
        <v>1</v>
      </c>
      <c r="I60" s="678">
        <v>1</v>
      </c>
      <c r="J60" s="752"/>
      <c r="K60" s="692" t="s">
        <v>1996</v>
      </c>
      <c r="L60" s="679"/>
      <c r="S60" s="780"/>
    </row>
    <row r="61" spans="1:19" s="467" customFormat="1" ht="15" hidden="1" customHeight="1" outlineLevel="1" x14ac:dyDescent="0.35">
      <c r="B61" s="759" t="s">
        <v>2231</v>
      </c>
      <c r="C61" s="677"/>
      <c r="D61" s="678">
        <v>1</v>
      </c>
      <c r="E61" s="678">
        <v>1</v>
      </c>
      <c r="F61" s="678">
        <v>1</v>
      </c>
      <c r="G61" s="678">
        <v>1</v>
      </c>
      <c r="H61" s="678">
        <v>1</v>
      </c>
      <c r="I61" s="678">
        <v>1</v>
      </c>
      <c r="J61" s="752"/>
      <c r="K61" s="692" t="s">
        <v>1996</v>
      </c>
      <c r="L61" s="679"/>
      <c r="S61" s="780"/>
    </row>
    <row r="62" spans="1:19" s="467" customFormat="1" ht="6" hidden="1" customHeight="1" outlineLevel="1" x14ac:dyDescent="0.35">
      <c r="B62" s="759"/>
      <c r="C62" s="677"/>
      <c r="D62" s="681"/>
      <c r="E62" s="681"/>
      <c r="F62" s="681"/>
      <c r="G62" s="681"/>
      <c r="H62" s="681"/>
      <c r="I62" s="681"/>
      <c r="J62" s="705"/>
      <c r="K62" s="704"/>
      <c r="L62" s="683"/>
      <c r="S62" s="780"/>
    </row>
    <row r="63" spans="1:19" collapsed="1" x14ac:dyDescent="0.35">
      <c r="B63" s="672"/>
      <c r="C63" s="754" t="s">
        <v>2238</v>
      </c>
      <c r="D63" s="673"/>
      <c r="E63" s="673"/>
      <c r="F63" s="673"/>
      <c r="G63" s="673"/>
      <c r="H63" s="673"/>
      <c r="I63" s="673"/>
      <c r="J63" s="673"/>
      <c r="K63" s="703"/>
      <c r="L63" s="675"/>
    </row>
    <row r="64" spans="1:19" s="467" customFormat="1" ht="15" hidden="1" customHeight="1" outlineLevel="1" x14ac:dyDescent="0.35">
      <c r="B64" s="759" t="s">
        <v>1985</v>
      </c>
      <c r="C64" s="677" t="s">
        <v>1657</v>
      </c>
      <c r="D64" s="669" t="s">
        <v>1582</v>
      </c>
      <c r="E64" s="682"/>
      <c r="F64" s="682"/>
      <c r="G64" s="682" t="s">
        <v>1682</v>
      </c>
      <c r="H64" s="682"/>
      <c r="I64" s="682"/>
      <c r="J64" s="682"/>
      <c r="K64" s="692" t="s">
        <v>1996</v>
      </c>
      <c r="L64" s="699"/>
      <c r="S64" s="780"/>
    </row>
    <row r="65" spans="2:19" s="467" customFormat="1" ht="15" hidden="1" customHeight="1" outlineLevel="1" x14ac:dyDescent="0.35">
      <c r="B65" s="759" t="s">
        <v>1989</v>
      </c>
      <c r="C65" s="677" t="s">
        <v>1990</v>
      </c>
      <c r="D65" s="669" t="s">
        <v>1991</v>
      </c>
      <c r="E65" s="682"/>
      <c r="F65" s="682"/>
      <c r="G65" s="682" t="s">
        <v>1682</v>
      </c>
      <c r="H65" s="682"/>
      <c r="I65" s="682"/>
      <c r="J65" s="682"/>
      <c r="K65" s="692" t="s">
        <v>1996</v>
      </c>
      <c r="L65" s="699"/>
      <c r="S65" s="780"/>
    </row>
    <row r="66" spans="2:19" s="467" customFormat="1" ht="15" hidden="1" customHeight="1" outlineLevel="1" x14ac:dyDescent="0.35">
      <c r="B66" s="759" t="s">
        <v>1986</v>
      </c>
      <c r="C66" s="677" t="s">
        <v>1658</v>
      </c>
      <c r="D66" s="669" t="s">
        <v>1582</v>
      </c>
      <c r="E66" s="682"/>
      <c r="F66" s="682"/>
      <c r="G66" s="682" t="s">
        <v>1682</v>
      </c>
      <c r="H66" s="682"/>
      <c r="I66" s="682"/>
      <c r="J66" s="682"/>
      <c r="K66" s="692" t="s">
        <v>1996</v>
      </c>
      <c r="L66" s="699"/>
      <c r="S66" s="780"/>
    </row>
    <row r="67" spans="2:19" s="467" customFormat="1" ht="15" hidden="1" customHeight="1" outlineLevel="1" x14ac:dyDescent="0.35">
      <c r="B67" s="759" t="s">
        <v>1987</v>
      </c>
      <c r="C67" s="677" t="s">
        <v>1640</v>
      </c>
      <c r="D67" s="706" t="s">
        <v>2235</v>
      </c>
      <c r="E67" s="682"/>
      <c r="F67" s="682"/>
      <c r="G67" s="682" t="s">
        <v>2</v>
      </c>
      <c r="H67" s="682"/>
      <c r="I67" s="682"/>
      <c r="J67" s="682"/>
      <c r="K67" s="692" t="s">
        <v>1996</v>
      </c>
      <c r="L67" s="699"/>
      <c r="S67" s="780"/>
    </row>
    <row r="68" spans="2:19" s="467" customFormat="1" ht="15" hidden="1" customHeight="1" outlineLevel="1" x14ac:dyDescent="0.35">
      <c r="B68" s="759" t="s">
        <v>1972</v>
      </c>
      <c r="C68" s="677" t="s">
        <v>1974</v>
      </c>
      <c r="D68" s="669" t="s">
        <v>1988</v>
      </c>
      <c r="E68" s="682"/>
      <c r="F68" s="682"/>
      <c r="G68" s="682" t="s">
        <v>2232</v>
      </c>
      <c r="H68" s="682"/>
      <c r="I68" s="682"/>
      <c r="J68" s="682"/>
      <c r="K68" s="692" t="s">
        <v>1996</v>
      </c>
      <c r="L68" s="699"/>
      <c r="S68" s="780"/>
    </row>
    <row r="69" spans="2:19" s="467" customFormat="1" ht="15" hidden="1" customHeight="1" outlineLevel="1" x14ac:dyDescent="0.35">
      <c r="B69" s="759" t="s">
        <v>1973</v>
      </c>
      <c r="C69" s="677" t="s">
        <v>1975</v>
      </c>
      <c r="D69" s="669" t="s">
        <v>2254</v>
      </c>
      <c r="E69" s="682"/>
      <c r="F69" s="682"/>
      <c r="G69" s="682" t="s">
        <v>2</v>
      </c>
      <c r="H69" s="682"/>
      <c r="I69" s="682"/>
      <c r="J69" s="682"/>
      <c r="K69" s="692" t="s">
        <v>1996</v>
      </c>
      <c r="L69" s="699"/>
      <c r="S69" s="780"/>
    </row>
    <row r="70" spans="2:19" s="467" customFormat="1" ht="15" hidden="1" customHeight="1" outlineLevel="1" x14ac:dyDescent="0.35">
      <c r="B70" s="759" t="s">
        <v>1976</v>
      </c>
      <c r="C70" s="677" t="s">
        <v>1977</v>
      </c>
      <c r="D70" s="707" t="s">
        <v>2233</v>
      </c>
      <c r="E70" s="682"/>
      <c r="F70" s="682"/>
      <c r="G70" s="682" t="s">
        <v>2</v>
      </c>
      <c r="H70" s="682"/>
      <c r="I70" s="682"/>
      <c r="J70" s="682"/>
      <c r="K70" s="692" t="s">
        <v>1996</v>
      </c>
      <c r="L70" s="699"/>
      <c r="S70" s="780"/>
    </row>
    <row r="71" spans="2:19" s="467" customFormat="1" ht="15" hidden="1" customHeight="1" outlineLevel="1" x14ac:dyDescent="0.35">
      <c r="B71" s="759" t="s">
        <v>1980</v>
      </c>
      <c r="C71" s="677" t="s">
        <v>1978</v>
      </c>
      <c r="D71" s="669" t="s">
        <v>2234</v>
      </c>
      <c r="E71" s="682"/>
      <c r="F71" s="682"/>
      <c r="G71" s="682" t="s">
        <v>2</v>
      </c>
      <c r="H71" s="682"/>
      <c r="I71" s="682"/>
      <c r="J71" s="682"/>
      <c r="K71" s="692" t="s">
        <v>1996</v>
      </c>
      <c r="L71" s="699"/>
      <c r="S71" s="780"/>
    </row>
    <row r="72" spans="2:19" s="467" customFormat="1" ht="15" hidden="1" customHeight="1" outlineLevel="1" x14ac:dyDescent="0.35">
      <c r="B72" s="759" t="s">
        <v>1979</v>
      </c>
      <c r="C72" s="677" t="s">
        <v>1984</v>
      </c>
      <c r="D72" s="669" t="s">
        <v>1582</v>
      </c>
      <c r="E72" s="682"/>
      <c r="F72" s="682"/>
      <c r="G72" s="682" t="s">
        <v>2</v>
      </c>
      <c r="H72" s="682"/>
      <c r="I72" s="682"/>
      <c r="J72" s="682"/>
      <c r="K72" s="692" t="s">
        <v>1996</v>
      </c>
      <c r="L72" s="699"/>
      <c r="S72" s="780"/>
    </row>
    <row r="73" spans="2:19" s="467" customFormat="1" ht="15" hidden="1" customHeight="1" outlineLevel="1" x14ac:dyDescent="0.35">
      <c r="B73" s="759" t="s">
        <v>1981</v>
      </c>
      <c r="C73" s="677" t="s">
        <v>1982</v>
      </c>
      <c r="D73" s="682"/>
      <c r="E73" s="682"/>
      <c r="F73" s="682"/>
      <c r="G73" s="669" t="s">
        <v>9</v>
      </c>
      <c r="H73" s="682"/>
      <c r="I73" s="682"/>
      <c r="J73" s="682"/>
      <c r="K73" s="692" t="s">
        <v>1996</v>
      </c>
      <c r="L73" s="699"/>
      <c r="S73" s="780"/>
    </row>
    <row r="74" spans="2:19" s="467" customFormat="1" ht="227.5" hidden="1" customHeight="1" outlineLevel="1" x14ac:dyDescent="0.35">
      <c r="B74" s="765" t="s">
        <v>1983</v>
      </c>
      <c r="C74" s="923" t="s">
        <v>1992</v>
      </c>
      <c r="D74" s="923"/>
      <c r="E74" s="923"/>
      <c r="F74" s="923"/>
      <c r="G74" s="923"/>
      <c r="H74" s="923"/>
      <c r="I74" s="923"/>
      <c r="J74" s="702"/>
      <c r="K74" s="692" t="s">
        <v>1996</v>
      </c>
      <c r="L74" s="699"/>
      <c r="S74" s="780"/>
    </row>
    <row r="75" spans="2:19" collapsed="1" x14ac:dyDescent="0.35">
      <c r="B75" s="672"/>
      <c r="C75" s="754" t="s">
        <v>2239</v>
      </c>
      <c r="D75" s="673"/>
      <c r="E75" s="673"/>
      <c r="F75" s="673"/>
      <c r="G75" s="673"/>
      <c r="H75" s="673"/>
      <c r="I75" s="673"/>
      <c r="J75" s="673"/>
      <c r="K75" s="703"/>
      <c r="L75" s="675"/>
    </row>
    <row r="76" spans="2:19" s="467" customFormat="1" ht="15" hidden="1" customHeight="1" outlineLevel="1" x14ac:dyDescent="0.35">
      <c r="B76" s="759" t="s">
        <v>1707</v>
      </c>
      <c r="C76" s="677" t="s">
        <v>1636</v>
      </c>
      <c r="D76" s="669" t="s">
        <v>1894</v>
      </c>
      <c r="E76" s="669"/>
      <c r="F76" s="669"/>
      <c r="G76" s="682" t="s">
        <v>1682</v>
      </c>
      <c r="H76" s="682"/>
      <c r="I76" s="682"/>
      <c r="J76" s="682"/>
      <c r="K76" s="692" t="s">
        <v>1996</v>
      </c>
      <c r="L76" s="699"/>
      <c r="S76" s="780"/>
    </row>
    <row r="77" spans="2:19" s="467" customFormat="1" ht="15" hidden="1" customHeight="1" outlineLevel="1" x14ac:dyDescent="0.35">
      <c r="B77" s="759" t="s">
        <v>1706</v>
      </c>
      <c r="C77" s="677" t="s">
        <v>1637</v>
      </c>
      <c r="D77" s="669" t="s">
        <v>1894</v>
      </c>
      <c r="E77" s="669"/>
      <c r="F77" s="669"/>
      <c r="G77" s="682" t="s">
        <v>1682</v>
      </c>
      <c r="H77" s="682"/>
      <c r="I77" s="682"/>
      <c r="J77" s="682"/>
      <c r="K77" s="692" t="s">
        <v>1996</v>
      </c>
      <c r="L77" s="699"/>
      <c r="S77" s="780"/>
    </row>
    <row r="78" spans="2:19" s="467" customFormat="1" ht="15" hidden="1" customHeight="1" outlineLevel="1" x14ac:dyDescent="0.35">
      <c r="B78" s="759" t="s">
        <v>2177</v>
      </c>
      <c r="C78" s="677" t="s">
        <v>2174</v>
      </c>
      <c r="D78" s="669" t="s">
        <v>2178</v>
      </c>
      <c r="E78" s="669"/>
      <c r="F78" s="669"/>
      <c r="G78" s="682" t="s">
        <v>1682</v>
      </c>
      <c r="H78" s="682"/>
      <c r="I78" s="682"/>
      <c r="J78" s="682"/>
      <c r="K78" s="692" t="s">
        <v>1996</v>
      </c>
      <c r="L78" s="699"/>
      <c r="S78" s="780"/>
    </row>
    <row r="79" spans="2:19" s="467" customFormat="1" ht="15" hidden="1" customHeight="1" outlineLevel="1" x14ac:dyDescent="0.35">
      <c r="B79" s="759" t="s">
        <v>2176</v>
      </c>
      <c r="C79" s="677" t="s">
        <v>2175</v>
      </c>
      <c r="D79" s="669" t="s">
        <v>748</v>
      </c>
      <c r="E79" s="669"/>
      <c r="F79" s="669"/>
      <c r="G79" s="682" t="s">
        <v>1682</v>
      </c>
      <c r="H79" s="682"/>
      <c r="I79" s="682"/>
      <c r="J79" s="682"/>
      <c r="K79" s="692" t="s">
        <v>1996</v>
      </c>
      <c r="L79" s="699"/>
      <c r="S79" s="780"/>
    </row>
    <row r="80" spans="2:19" s="467" customFormat="1" ht="15" hidden="1" customHeight="1" outlineLevel="1" x14ac:dyDescent="0.35">
      <c r="B80" s="759" t="s">
        <v>1837</v>
      </c>
      <c r="C80" s="677" t="s">
        <v>1836</v>
      </c>
      <c r="D80" s="669" t="s">
        <v>748</v>
      </c>
      <c r="E80" s="669"/>
      <c r="F80" s="669"/>
      <c r="G80" s="682" t="s">
        <v>1682</v>
      </c>
      <c r="H80" s="682"/>
      <c r="I80" s="682"/>
      <c r="J80" s="682"/>
      <c r="K80" s="692" t="s">
        <v>1996</v>
      </c>
      <c r="L80" s="699"/>
      <c r="S80" s="780"/>
    </row>
    <row r="81" spans="2:19" s="467" customFormat="1" ht="15" hidden="1" customHeight="1" outlineLevel="1" x14ac:dyDescent="0.35">
      <c r="B81" s="759" t="s">
        <v>2092</v>
      </c>
      <c r="C81" s="677" t="s">
        <v>2089</v>
      </c>
      <c r="D81" s="669" t="s">
        <v>1582</v>
      </c>
      <c r="E81" s="669"/>
      <c r="F81" s="669"/>
      <c r="G81" s="682" t="s">
        <v>1682</v>
      </c>
      <c r="H81" s="682"/>
      <c r="I81" s="682"/>
      <c r="J81" s="682"/>
      <c r="K81" s="692" t="s">
        <v>1996</v>
      </c>
      <c r="L81" s="699"/>
      <c r="S81" s="780"/>
    </row>
    <row r="82" spans="2:19" s="467" customFormat="1" ht="15" hidden="1" customHeight="1" outlineLevel="1" x14ac:dyDescent="0.35">
      <c r="B82" s="759" t="s">
        <v>2091</v>
      </c>
      <c r="C82" s="677" t="s">
        <v>2090</v>
      </c>
      <c r="D82" s="669" t="s">
        <v>1582</v>
      </c>
      <c r="E82" s="669"/>
      <c r="F82" s="669"/>
      <c r="G82" s="682" t="s">
        <v>1682</v>
      </c>
      <c r="H82" s="682"/>
      <c r="I82" s="682"/>
      <c r="J82" s="682"/>
      <c r="K82" s="692" t="s">
        <v>1996</v>
      </c>
      <c r="L82" s="699"/>
      <c r="S82" s="780"/>
    </row>
    <row r="83" spans="2:19" s="467" customFormat="1" ht="15" hidden="1" customHeight="1" outlineLevel="1" x14ac:dyDescent="0.35">
      <c r="B83" s="759" t="s">
        <v>1708</v>
      </c>
      <c r="C83" s="677" t="s">
        <v>1638</v>
      </c>
      <c r="D83" s="663" t="s">
        <v>76</v>
      </c>
      <c r="E83" s="663"/>
      <c r="F83" s="663"/>
      <c r="G83" s="684" t="s">
        <v>1682</v>
      </c>
      <c r="H83" s="684"/>
      <c r="I83" s="684"/>
      <c r="J83" s="684"/>
      <c r="K83" s="692" t="s">
        <v>1996</v>
      </c>
      <c r="L83" s="708"/>
      <c r="S83" s="780"/>
    </row>
    <row r="84" spans="2:19" s="467" customFormat="1" ht="15" hidden="1" customHeight="1" outlineLevel="1" x14ac:dyDescent="0.35">
      <c r="B84" s="759" t="s">
        <v>1709</v>
      </c>
      <c r="C84" s="677" t="s">
        <v>1642</v>
      </c>
      <c r="D84" s="663" t="s">
        <v>76</v>
      </c>
      <c r="E84" s="663"/>
      <c r="F84" s="663"/>
      <c r="G84" s="684" t="s">
        <v>1682</v>
      </c>
      <c r="H84" s="684"/>
      <c r="I84" s="684"/>
      <c r="J84" s="684"/>
      <c r="K84" s="692" t="s">
        <v>1996</v>
      </c>
      <c r="L84" s="708"/>
      <c r="S84" s="780"/>
    </row>
    <row r="85" spans="2:19" s="467" customFormat="1" ht="6" hidden="1" customHeight="1" outlineLevel="1" x14ac:dyDescent="0.35">
      <c r="B85" s="759"/>
      <c r="C85" s="677"/>
      <c r="D85" s="664"/>
      <c r="E85" s="664"/>
      <c r="F85" s="664"/>
      <c r="G85" s="677"/>
      <c r="H85" s="677"/>
      <c r="I85" s="677"/>
      <c r="J85" s="677"/>
      <c r="K85" s="692" t="s">
        <v>1996</v>
      </c>
      <c r="L85" s="693"/>
      <c r="S85" s="780"/>
    </row>
    <row r="86" spans="2:19" collapsed="1" x14ac:dyDescent="0.35">
      <c r="B86" s="672"/>
      <c r="C86" s="754" t="s">
        <v>1653</v>
      </c>
      <c r="D86" s="673"/>
      <c r="E86" s="673"/>
      <c r="F86" s="673"/>
      <c r="G86" s="673"/>
      <c r="H86" s="673"/>
      <c r="I86" s="673"/>
      <c r="J86" s="673"/>
      <c r="K86" s="674"/>
      <c r="L86" s="675"/>
    </row>
    <row r="87" spans="2:19" s="467" customFormat="1" ht="15" hidden="1" customHeight="1" outlineLevel="1" x14ac:dyDescent="0.35">
      <c r="B87" s="759" t="s">
        <v>1701</v>
      </c>
      <c r="C87" s="677" t="s">
        <v>1651</v>
      </c>
      <c r="D87" s="669" t="s">
        <v>2248</v>
      </c>
      <c r="E87" s="669"/>
      <c r="F87" s="669"/>
      <c r="G87" s="682" t="s">
        <v>1681</v>
      </c>
      <c r="H87" s="682"/>
      <c r="I87" s="682"/>
      <c r="J87" s="682"/>
      <c r="K87" s="692" t="s">
        <v>1996</v>
      </c>
      <c r="L87" s="699"/>
      <c r="N87" s="1"/>
      <c r="O87" s="1"/>
      <c r="P87" s="1"/>
      <c r="Q87" s="1"/>
      <c r="R87" s="1"/>
      <c r="S87" s="780"/>
    </row>
    <row r="88" spans="2:19" s="467" customFormat="1" ht="15" hidden="1" customHeight="1" outlineLevel="1" x14ac:dyDescent="0.35">
      <c r="B88" s="759" t="s">
        <v>1700</v>
      </c>
      <c r="C88" s="677" t="s">
        <v>1650</v>
      </c>
      <c r="D88" s="669" t="s">
        <v>2249</v>
      </c>
      <c r="E88" s="669"/>
      <c r="F88" s="669"/>
      <c r="G88" s="682" t="s">
        <v>2</v>
      </c>
      <c r="H88" s="682"/>
      <c r="I88" s="682"/>
      <c r="J88" s="682"/>
      <c r="K88" s="692" t="s">
        <v>1996</v>
      </c>
      <c r="L88" s="699"/>
      <c r="N88" s="1"/>
      <c r="O88" s="1"/>
      <c r="P88" s="1"/>
      <c r="Q88" s="1"/>
      <c r="R88" s="1"/>
      <c r="S88" s="780"/>
    </row>
    <row r="89" spans="2:19" s="467" customFormat="1" ht="6" hidden="1" customHeight="1" outlineLevel="1" x14ac:dyDescent="0.35">
      <c r="B89" s="759"/>
      <c r="C89" s="677"/>
      <c r="D89" s="664"/>
      <c r="E89" s="664"/>
      <c r="F89" s="664"/>
      <c r="G89" s="677"/>
      <c r="H89" s="677"/>
      <c r="I89" s="677"/>
      <c r="J89" s="677"/>
      <c r="K89" s="692" t="s">
        <v>1996</v>
      </c>
      <c r="L89" s="693"/>
      <c r="N89" s="1"/>
      <c r="O89" s="1"/>
      <c r="P89" s="1"/>
      <c r="Q89" s="1"/>
      <c r="R89" s="1"/>
      <c r="S89" s="780"/>
    </row>
    <row r="90" spans="2:19" collapsed="1" x14ac:dyDescent="0.35">
      <c r="B90" s="672"/>
      <c r="C90" s="754" t="s">
        <v>1652</v>
      </c>
      <c r="D90" s="673"/>
      <c r="E90" s="673"/>
      <c r="F90" s="673"/>
      <c r="G90" s="673"/>
      <c r="H90" s="673"/>
      <c r="I90" s="673"/>
      <c r="J90" s="673"/>
      <c r="K90" s="674"/>
      <c r="L90" s="675"/>
    </row>
    <row r="91" spans="2:19" s="467" customFormat="1" ht="15" hidden="1" customHeight="1" outlineLevel="1" x14ac:dyDescent="0.35">
      <c r="B91" s="759" t="s">
        <v>1702</v>
      </c>
      <c r="C91" s="677" t="s">
        <v>1971</v>
      </c>
      <c r="D91" s="669" t="s">
        <v>2020</v>
      </c>
      <c r="E91" s="669"/>
      <c r="F91" s="669"/>
      <c r="G91" s="682" t="s">
        <v>1681</v>
      </c>
      <c r="H91" s="682"/>
      <c r="I91" s="682"/>
      <c r="J91" s="682"/>
      <c r="K91" s="692" t="s">
        <v>1996</v>
      </c>
      <c r="L91" s="699"/>
      <c r="N91" s="1"/>
      <c r="O91" s="1"/>
      <c r="P91" s="1"/>
      <c r="Q91" s="1"/>
      <c r="R91" s="1"/>
      <c r="S91" s="780"/>
    </row>
    <row r="92" spans="2:19" s="467" customFormat="1" ht="15" hidden="1" customHeight="1" outlineLevel="1" x14ac:dyDescent="0.35">
      <c r="B92" s="759" t="s">
        <v>1704</v>
      </c>
      <c r="C92" s="677" t="s">
        <v>1654</v>
      </c>
      <c r="D92" s="669" t="s">
        <v>748</v>
      </c>
      <c r="E92" s="669"/>
      <c r="F92" s="669"/>
      <c r="G92" s="682" t="s">
        <v>1682</v>
      </c>
      <c r="H92" s="682"/>
      <c r="I92" s="682"/>
      <c r="J92" s="682"/>
      <c r="K92" s="692" t="s">
        <v>1996</v>
      </c>
      <c r="L92" s="699"/>
      <c r="N92" s="1"/>
      <c r="O92" s="1"/>
      <c r="P92" s="1"/>
      <c r="Q92" s="1"/>
      <c r="R92" s="1"/>
      <c r="S92" s="780"/>
    </row>
    <row r="93" spans="2:19" s="467" customFormat="1" ht="15" hidden="1" customHeight="1" outlineLevel="1" x14ac:dyDescent="0.35">
      <c r="B93" s="759" t="s">
        <v>1703</v>
      </c>
      <c r="C93" s="677" t="s">
        <v>1655</v>
      </c>
      <c r="D93" s="669" t="s">
        <v>748</v>
      </c>
      <c r="E93" s="669"/>
      <c r="F93" s="669"/>
      <c r="G93" s="682" t="s">
        <v>1682</v>
      </c>
      <c r="H93" s="682"/>
      <c r="I93" s="682"/>
      <c r="J93" s="682"/>
      <c r="K93" s="692" t="s">
        <v>1996</v>
      </c>
      <c r="L93" s="699"/>
      <c r="N93" s="1"/>
      <c r="O93" s="1"/>
      <c r="P93" s="1"/>
      <c r="Q93" s="1"/>
      <c r="R93" s="1"/>
      <c r="S93" s="780"/>
    </row>
    <row r="94" spans="2:19" s="467" customFormat="1" ht="15" hidden="1" customHeight="1" outlineLevel="1" x14ac:dyDescent="0.35">
      <c r="B94" s="759" t="s">
        <v>1705</v>
      </c>
      <c r="C94" s="677" t="s">
        <v>1656</v>
      </c>
      <c r="D94" s="669" t="s">
        <v>748</v>
      </c>
      <c r="E94" s="669"/>
      <c r="F94" s="669"/>
      <c r="G94" s="682" t="s">
        <v>1682</v>
      </c>
      <c r="H94" s="682"/>
      <c r="I94" s="682"/>
      <c r="J94" s="682"/>
      <c r="K94" s="692" t="s">
        <v>1996</v>
      </c>
      <c r="L94" s="699"/>
      <c r="S94" s="780"/>
    </row>
    <row r="95" spans="2:19" s="467" customFormat="1" ht="14.5" customHeight="1" collapsed="1" thickBot="1" x14ac:dyDescent="0.4">
      <c r="B95" s="763"/>
      <c r="C95" s="688"/>
      <c r="D95" s="670"/>
      <c r="E95" s="670"/>
      <c r="F95" s="670"/>
      <c r="G95" s="688"/>
      <c r="H95" s="688"/>
      <c r="I95" s="688"/>
      <c r="J95" s="688"/>
      <c r="K95" s="709"/>
      <c r="L95" s="710"/>
      <c r="S95" s="780"/>
    </row>
    <row r="96" spans="2:19" s="467" customFormat="1" ht="15" customHeight="1" thickBot="1" x14ac:dyDescent="0.4">
      <c r="K96" s="468"/>
      <c r="S96" s="780"/>
    </row>
    <row r="97" spans="2:19" ht="23" thickBot="1" x14ac:dyDescent="0.4">
      <c r="B97" s="524"/>
      <c r="C97" s="525" t="s">
        <v>2243</v>
      </c>
      <c r="D97" s="525"/>
      <c r="E97" s="525"/>
      <c r="F97" s="525"/>
      <c r="G97" s="525"/>
      <c r="H97" s="525"/>
      <c r="I97" s="525"/>
      <c r="J97" s="525"/>
      <c r="K97" s="527"/>
      <c r="L97" s="526"/>
    </row>
    <row r="98" spans="2:19" s="467" customFormat="1" ht="6" hidden="1" customHeight="1" outlineLevel="1" thickTop="1" x14ac:dyDescent="0.35">
      <c r="B98" s="764"/>
      <c r="C98" s="755"/>
      <c r="D98" s="716"/>
      <c r="E98" s="716"/>
      <c r="F98" s="716"/>
      <c r="G98" s="716"/>
      <c r="H98" s="716"/>
      <c r="I98" s="716"/>
      <c r="J98" s="716"/>
      <c r="K98" s="531"/>
      <c r="L98" s="717"/>
      <c r="S98" s="780"/>
    </row>
    <row r="99" spans="2:19" s="392" customFormat="1" hidden="1" outlineLevel="1" x14ac:dyDescent="0.35">
      <c r="B99" s="672"/>
      <c r="C99" s="754" t="s">
        <v>1886</v>
      </c>
      <c r="D99" s="673"/>
      <c r="E99" s="673"/>
      <c r="F99" s="673"/>
      <c r="G99" s="673"/>
      <c r="H99" s="673"/>
      <c r="I99" s="673"/>
      <c r="J99" s="673"/>
      <c r="K99" s="674"/>
      <c r="L99" s="675"/>
      <c r="S99" s="781"/>
    </row>
    <row r="100" spans="2:19" s="467" customFormat="1" ht="15" hidden="1" customHeight="1" outlineLevel="1" x14ac:dyDescent="0.35">
      <c r="B100" s="759" t="s">
        <v>1716</v>
      </c>
      <c r="C100" s="677" t="s">
        <v>2240</v>
      </c>
      <c r="D100" s="665" t="s">
        <v>2398</v>
      </c>
      <c r="E100" s="678"/>
      <c r="F100" s="685"/>
      <c r="G100" s="685"/>
      <c r="H100" s="685"/>
      <c r="I100" s="685"/>
      <c r="J100" s="685"/>
      <c r="K100" s="692" t="s">
        <v>1996</v>
      </c>
      <c r="L100" s="695"/>
      <c r="S100" s="780"/>
    </row>
    <row r="101" spans="2:19" s="718" customFormat="1" ht="24" hidden="1" customHeight="1" outlineLevel="1" x14ac:dyDescent="0.35">
      <c r="B101" s="712"/>
      <c r="C101" s="756" t="s">
        <v>1962</v>
      </c>
      <c r="D101" s="713" t="s">
        <v>1875</v>
      </c>
      <c r="E101" s="713" t="s">
        <v>2008</v>
      </c>
      <c r="F101" s="661"/>
      <c r="G101" s="661"/>
      <c r="H101" s="661"/>
      <c r="I101" s="661"/>
      <c r="J101" s="661"/>
      <c r="K101" s="715"/>
      <c r="L101" s="714"/>
      <c r="S101" s="782"/>
    </row>
    <row r="102" spans="2:19" s="467" customFormat="1" ht="15" hidden="1" customHeight="1" outlineLevel="1" x14ac:dyDescent="0.35">
      <c r="B102" s="759" t="s">
        <v>1710</v>
      </c>
      <c r="C102" s="677" t="s">
        <v>1922</v>
      </c>
      <c r="D102" s="665">
        <v>1</v>
      </c>
      <c r="E102" s="665" t="s">
        <v>2009</v>
      </c>
      <c r="F102" s="685"/>
      <c r="G102" s="685"/>
      <c r="H102" s="685"/>
      <c r="I102" s="685"/>
      <c r="J102" s="685"/>
      <c r="K102" s="692" t="s">
        <v>1996</v>
      </c>
      <c r="L102" s="695"/>
      <c r="S102" s="780"/>
    </row>
    <row r="103" spans="2:19" s="467" customFormat="1" ht="15" hidden="1" customHeight="1" outlineLevel="1" x14ac:dyDescent="0.35">
      <c r="B103" s="759" t="s">
        <v>1711</v>
      </c>
      <c r="C103" s="677" t="s">
        <v>1921</v>
      </c>
      <c r="D103" s="665">
        <v>1</v>
      </c>
      <c r="E103" s="665" t="s">
        <v>2010</v>
      </c>
      <c r="F103" s="685"/>
      <c r="G103" s="685"/>
      <c r="H103" s="685"/>
      <c r="I103" s="685"/>
      <c r="J103" s="685"/>
      <c r="K103" s="692" t="s">
        <v>1996</v>
      </c>
      <c r="L103" s="695"/>
      <c r="S103" s="780"/>
    </row>
    <row r="104" spans="2:19" s="467" customFormat="1" ht="15" hidden="1" customHeight="1" outlineLevel="1" x14ac:dyDescent="0.35">
      <c r="B104" s="759" t="s">
        <v>1712</v>
      </c>
      <c r="C104" s="677" t="s">
        <v>1920</v>
      </c>
      <c r="D104" s="665">
        <v>1</v>
      </c>
      <c r="E104" s="665" t="s">
        <v>2011</v>
      </c>
      <c r="F104" s="685"/>
      <c r="G104" s="685"/>
      <c r="H104" s="685"/>
      <c r="I104" s="685"/>
      <c r="J104" s="685"/>
      <c r="K104" s="692" t="s">
        <v>1996</v>
      </c>
      <c r="L104" s="695"/>
      <c r="S104" s="780"/>
    </row>
    <row r="105" spans="2:19" s="467" customFormat="1" ht="15" hidden="1" customHeight="1" outlineLevel="1" x14ac:dyDescent="0.35">
      <c r="B105" s="759" t="s">
        <v>1713</v>
      </c>
      <c r="C105" s="677" t="s">
        <v>1919</v>
      </c>
      <c r="D105" s="665">
        <v>1</v>
      </c>
      <c r="E105" s="665" t="s">
        <v>2012</v>
      </c>
      <c r="F105" s="685"/>
      <c r="G105" s="685"/>
      <c r="H105" s="685"/>
      <c r="I105" s="685"/>
      <c r="J105" s="685"/>
      <c r="K105" s="692" t="s">
        <v>1996</v>
      </c>
      <c r="L105" s="695"/>
      <c r="S105" s="780"/>
    </row>
    <row r="106" spans="2:19" s="467" customFormat="1" ht="15" hidden="1" customHeight="1" outlineLevel="1" x14ac:dyDescent="0.35">
      <c r="B106" s="759" t="s">
        <v>1714</v>
      </c>
      <c r="C106" s="677" t="s">
        <v>1918</v>
      </c>
      <c r="D106" s="665">
        <v>1</v>
      </c>
      <c r="E106" s="665" t="s">
        <v>2013</v>
      </c>
      <c r="F106" s="685"/>
      <c r="G106" s="685"/>
      <c r="H106" s="685"/>
      <c r="I106" s="685"/>
      <c r="J106" s="685"/>
      <c r="K106" s="692" t="s">
        <v>1996</v>
      </c>
      <c r="L106" s="695"/>
      <c r="S106" s="780"/>
    </row>
    <row r="107" spans="2:19" s="467" customFormat="1" ht="15" hidden="1" customHeight="1" outlineLevel="1" x14ac:dyDescent="0.35">
      <c r="B107" s="759" t="s">
        <v>1715</v>
      </c>
      <c r="C107" s="677" t="s">
        <v>1917</v>
      </c>
      <c r="D107" s="665">
        <v>1</v>
      </c>
      <c r="E107" s="665" t="s">
        <v>2014</v>
      </c>
      <c r="F107" s="685"/>
      <c r="G107" s="685"/>
      <c r="H107" s="685"/>
      <c r="I107" s="685"/>
      <c r="J107" s="685"/>
      <c r="K107" s="692" t="s">
        <v>1996</v>
      </c>
      <c r="L107" s="695"/>
      <c r="S107" s="780"/>
    </row>
    <row r="108" spans="2:19" s="467" customFormat="1" ht="15" hidden="1" customHeight="1" outlineLevel="1" x14ac:dyDescent="0.35">
      <c r="B108" s="759" t="s">
        <v>2282</v>
      </c>
      <c r="C108" s="677" t="s">
        <v>2280</v>
      </c>
      <c r="D108" s="665">
        <v>1</v>
      </c>
      <c r="E108" s="665" t="s">
        <v>2281</v>
      </c>
      <c r="F108" s="685"/>
      <c r="G108" s="685"/>
      <c r="H108" s="685"/>
      <c r="I108" s="685"/>
      <c r="J108" s="685"/>
      <c r="K108" s="692" t="s">
        <v>1996</v>
      </c>
      <c r="L108" s="695"/>
      <c r="S108" s="780"/>
    </row>
    <row r="109" spans="2:19" s="467" customFormat="1" ht="15" hidden="1" customHeight="1" outlineLevel="1" x14ac:dyDescent="0.35">
      <c r="B109" s="759" t="s">
        <v>1911</v>
      </c>
      <c r="C109" s="677" t="s">
        <v>1914</v>
      </c>
      <c r="D109" s="665">
        <v>1</v>
      </c>
      <c r="E109" s="665" t="s">
        <v>2015</v>
      </c>
      <c r="F109" s="685"/>
      <c r="G109" s="685"/>
      <c r="H109" s="685"/>
      <c r="I109" s="685"/>
      <c r="J109" s="685"/>
      <c r="K109" s="692" t="s">
        <v>1996</v>
      </c>
      <c r="L109" s="695"/>
      <c r="S109" s="780"/>
    </row>
    <row r="110" spans="2:19" s="467" customFormat="1" ht="15" hidden="1" customHeight="1" outlineLevel="1" x14ac:dyDescent="0.35">
      <c r="B110" s="759" t="s">
        <v>1923</v>
      </c>
      <c r="C110" s="677" t="s">
        <v>1924</v>
      </c>
      <c r="D110" s="665">
        <v>1</v>
      </c>
      <c r="E110" s="665" t="s">
        <v>2016</v>
      </c>
      <c r="F110" s="685"/>
      <c r="G110" s="685"/>
      <c r="H110" s="685"/>
      <c r="I110" s="685"/>
      <c r="J110" s="685"/>
      <c r="K110" s="692" t="s">
        <v>1996</v>
      </c>
      <c r="L110" s="695"/>
      <c r="S110" s="780"/>
    </row>
    <row r="111" spans="2:19" s="467" customFormat="1" ht="15" hidden="1" customHeight="1" outlineLevel="1" x14ac:dyDescent="0.35">
      <c r="B111" s="759" t="s">
        <v>1876</v>
      </c>
      <c r="C111" s="677" t="s">
        <v>1915</v>
      </c>
      <c r="D111" s="665">
        <v>1</v>
      </c>
      <c r="E111" s="665" t="s">
        <v>2017</v>
      </c>
      <c r="F111" s="685"/>
      <c r="G111" s="685"/>
      <c r="H111" s="685"/>
      <c r="I111" s="685"/>
      <c r="J111" s="685"/>
      <c r="K111" s="692" t="s">
        <v>1996</v>
      </c>
      <c r="L111" s="695"/>
      <c r="S111" s="780"/>
    </row>
    <row r="112" spans="2:19" s="467" customFormat="1" ht="15" hidden="1" customHeight="1" outlineLevel="1" x14ac:dyDescent="0.35">
      <c r="B112" s="759" t="s">
        <v>1877</v>
      </c>
      <c r="C112" s="677" t="s">
        <v>1916</v>
      </c>
      <c r="D112" s="665">
        <v>2</v>
      </c>
      <c r="E112" s="665" t="s">
        <v>2094</v>
      </c>
      <c r="F112" s="685"/>
      <c r="G112" s="685"/>
      <c r="H112" s="685"/>
      <c r="I112" s="685"/>
      <c r="J112" s="685"/>
      <c r="K112" s="692" t="s">
        <v>1996</v>
      </c>
      <c r="L112" s="695"/>
      <c r="S112" s="780"/>
    </row>
    <row r="113" spans="2:19" s="467" customFormat="1" ht="15" hidden="1" customHeight="1" outlineLevel="1" x14ac:dyDescent="0.35">
      <c r="B113" s="759" t="s">
        <v>2034</v>
      </c>
      <c r="C113" s="677" t="s">
        <v>2035</v>
      </c>
      <c r="D113" s="665">
        <v>2</v>
      </c>
      <c r="E113" s="665" t="s">
        <v>2093</v>
      </c>
      <c r="F113" s="685"/>
      <c r="G113" s="685"/>
      <c r="H113" s="685"/>
      <c r="I113" s="685"/>
      <c r="J113" s="685"/>
      <c r="K113" s="692" t="s">
        <v>1996</v>
      </c>
      <c r="L113" s="695"/>
      <c r="S113" s="780"/>
    </row>
    <row r="114" spans="2:19" s="467" customFormat="1" ht="15" hidden="1" customHeight="1" outlineLevel="1" x14ac:dyDescent="0.35">
      <c r="B114" s="759"/>
      <c r="C114" s="677"/>
      <c r="D114" s="678"/>
      <c r="E114" s="678"/>
      <c r="F114" s="685"/>
      <c r="G114" s="685"/>
      <c r="H114" s="685"/>
      <c r="I114" s="685"/>
      <c r="J114" s="685"/>
      <c r="K114" s="692" t="s">
        <v>1996</v>
      </c>
      <c r="L114" s="695"/>
      <c r="S114" s="780"/>
    </row>
    <row r="115" spans="2:19" s="392" customFormat="1" hidden="1" outlineLevel="1" x14ac:dyDescent="0.35">
      <c r="B115" s="672"/>
      <c r="C115" s="754" t="s">
        <v>1928</v>
      </c>
      <c r="D115" s="673"/>
      <c r="E115" s="673"/>
      <c r="F115" s="673"/>
      <c r="G115" s="673"/>
      <c r="H115" s="673"/>
      <c r="I115" s="673"/>
      <c r="J115" s="673"/>
      <c r="K115" s="715"/>
      <c r="L115" s="675"/>
      <c r="S115" s="781"/>
    </row>
    <row r="116" spans="2:19" s="467" customFormat="1" ht="15" hidden="1" customHeight="1" outlineLevel="1" x14ac:dyDescent="0.35">
      <c r="B116" s="759" t="s">
        <v>1887</v>
      </c>
      <c r="C116" s="677" t="s">
        <v>1926</v>
      </c>
      <c r="D116" s="665">
        <v>1</v>
      </c>
      <c r="E116" s="665" t="s">
        <v>2032</v>
      </c>
      <c r="F116" s="685"/>
      <c r="G116" s="685"/>
      <c r="H116" s="685"/>
      <c r="I116" s="685"/>
      <c r="J116" s="685"/>
      <c r="K116" s="692" t="s">
        <v>1996</v>
      </c>
      <c r="L116" s="695"/>
      <c r="S116" s="780"/>
    </row>
    <row r="117" spans="2:19" s="467" customFormat="1" ht="15" hidden="1" customHeight="1" outlineLevel="1" x14ac:dyDescent="0.35">
      <c r="B117" s="759" t="s">
        <v>1888</v>
      </c>
      <c r="C117" s="677" t="s">
        <v>1925</v>
      </c>
      <c r="D117" s="665">
        <v>1</v>
      </c>
      <c r="E117" s="665" t="s">
        <v>2033</v>
      </c>
      <c r="F117" s="685"/>
      <c r="G117" s="685"/>
      <c r="H117" s="685"/>
      <c r="I117" s="685"/>
      <c r="J117" s="685"/>
      <c r="K117" s="692" t="s">
        <v>1996</v>
      </c>
      <c r="L117" s="695"/>
      <c r="S117" s="780"/>
    </row>
    <row r="118" spans="2:19" s="467" customFormat="1" ht="15" hidden="1" customHeight="1" outlineLevel="1" x14ac:dyDescent="0.35">
      <c r="B118" s="759"/>
      <c r="C118" s="677"/>
      <c r="D118" s="678"/>
      <c r="E118" s="678"/>
      <c r="F118" s="685"/>
      <c r="G118" s="685"/>
      <c r="H118" s="685"/>
      <c r="I118" s="685"/>
      <c r="J118" s="685"/>
      <c r="K118" s="692" t="s">
        <v>1996</v>
      </c>
      <c r="L118" s="695"/>
      <c r="S118" s="780"/>
    </row>
    <row r="119" spans="2:19" s="392" customFormat="1" hidden="1" outlineLevel="1" x14ac:dyDescent="0.35">
      <c r="B119" s="672"/>
      <c r="C119" s="754" t="s">
        <v>1927</v>
      </c>
      <c r="D119" s="673"/>
      <c r="E119" s="673"/>
      <c r="F119" s="673"/>
      <c r="G119" s="673"/>
      <c r="H119" s="673"/>
      <c r="I119" s="673"/>
      <c r="J119" s="673"/>
      <c r="K119" s="715"/>
      <c r="L119" s="675"/>
      <c r="S119" s="781"/>
    </row>
    <row r="120" spans="2:19" s="467" customFormat="1" ht="15" hidden="1" customHeight="1" outlineLevel="1" x14ac:dyDescent="0.35">
      <c r="B120" s="759" t="s">
        <v>1912</v>
      </c>
      <c r="C120" s="677" t="s">
        <v>1913</v>
      </c>
      <c r="D120" s="665">
        <v>1</v>
      </c>
      <c r="E120" s="665" t="s">
        <v>2018</v>
      </c>
      <c r="F120" s="685"/>
      <c r="G120" s="685"/>
      <c r="H120" s="685"/>
      <c r="I120" s="685"/>
      <c r="J120" s="685"/>
      <c r="K120" s="692" t="s">
        <v>1996</v>
      </c>
      <c r="L120" s="695"/>
      <c r="S120" s="780"/>
    </row>
    <row r="121" spans="2:19" s="467" customFormat="1" ht="14.15" hidden="1" customHeight="1" outlineLevel="1" thickBot="1" x14ac:dyDescent="0.4">
      <c r="B121" s="763"/>
      <c r="C121" s="688"/>
      <c r="D121" s="688"/>
      <c r="E121" s="688"/>
      <c r="F121" s="688"/>
      <c r="G121" s="688"/>
      <c r="H121" s="688"/>
      <c r="I121" s="688"/>
      <c r="J121" s="688"/>
      <c r="K121" s="697"/>
      <c r="L121" s="710"/>
      <c r="S121" s="780"/>
    </row>
    <row r="122" spans="2:19" ht="15.5" collapsed="1" thickTop="1" thickBot="1" x14ac:dyDescent="0.4">
      <c r="B122" s="2"/>
    </row>
    <row r="123" spans="2:19" ht="23" thickBot="1" x14ac:dyDescent="0.4">
      <c r="B123" s="524"/>
      <c r="C123" s="525" t="s">
        <v>1847</v>
      </c>
      <c r="D123" s="525"/>
      <c r="E123" s="525"/>
      <c r="F123" s="525"/>
      <c r="G123" s="525"/>
      <c r="H123" s="525"/>
      <c r="I123" s="525"/>
      <c r="J123" s="525"/>
      <c r="K123" s="527"/>
      <c r="L123" s="526"/>
    </row>
    <row r="124" spans="2:19" s="2" customFormat="1" ht="15.5" hidden="1" outlineLevel="1" thickTop="1" thickBot="1" x14ac:dyDescent="0.4">
      <c r="B124" s="721"/>
      <c r="C124" s="719" t="s">
        <v>0</v>
      </c>
      <c r="D124" s="719" t="s">
        <v>1037</v>
      </c>
      <c r="E124" s="719" t="s">
        <v>1867</v>
      </c>
      <c r="F124" s="719" t="s">
        <v>2340</v>
      </c>
      <c r="G124" s="719"/>
      <c r="H124" s="719"/>
      <c r="I124" s="719"/>
      <c r="J124" s="719"/>
      <c r="K124" s="719"/>
      <c r="L124" s="720"/>
      <c r="M124" s="385"/>
      <c r="S124" s="783"/>
    </row>
    <row r="125" spans="2:19" s="467" customFormat="1" ht="15" hidden="1" customHeight="1" outlineLevel="1" thickTop="1" x14ac:dyDescent="0.35">
      <c r="B125" s="759" t="s">
        <v>2245</v>
      </c>
      <c r="C125" s="677" t="s">
        <v>1848</v>
      </c>
      <c r="D125" s="665">
        <v>0</v>
      </c>
      <c r="E125" s="722">
        <v>0</v>
      </c>
      <c r="F125" s="669"/>
      <c r="G125" s="682"/>
      <c r="H125" s="682"/>
      <c r="I125" s="682"/>
      <c r="J125" s="682"/>
      <c r="K125" s="692"/>
      <c r="L125" s="699"/>
      <c r="N125" s="1"/>
      <c r="O125" s="1"/>
      <c r="P125" s="1"/>
      <c r="Q125" s="1"/>
      <c r="R125" s="1"/>
      <c r="S125" s="780"/>
    </row>
    <row r="126" spans="2:19" s="467" customFormat="1" ht="15" hidden="1" customHeight="1" outlineLevel="1" x14ac:dyDescent="0.35">
      <c r="B126" s="759" t="s">
        <v>2245</v>
      </c>
      <c r="C126" s="677" t="s">
        <v>1840</v>
      </c>
      <c r="D126" s="665">
        <v>6</v>
      </c>
      <c r="E126" s="722">
        <v>0</v>
      </c>
      <c r="F126" s="669"/>
      <c r="G126" s="682"/>
      <c r="H126" s="682"/>
      <c r="I126" s="682"/>
      <c r="J126" s="682"/>
      <c r="K126" s="692"/>
      <c r="L126" s="699"/>
      <c r="N126" s="1"/>
      <c r="O126" s="1"/>
      <c r="P126" s="1"/>
      <c r="Q126" s="1"/>
      <c r="R126" s="1"/>
      <c r="S126" s="780"/>
    </row>
    <row r="127" spans="2:19" s="467" customFormat="1" ht="15" hidden="1" customHeight="1" outlineLevel="1" x14ac:dyDescent="0.35">
      <c r="B127" s="759" t="s">
        <v>2245</v>
      </c>
      <c r="C127" s="677" t="s">
        <v>1602</v>
      </c>
      <c r="D127" s="665">
        <v>7</v>
      </c>
      <c r="E127" s="722">
        <v>0</v>
      </c>
      <c r="F127" s="669"/>
      <c r="G127" s="682"/>
      <c r="H127" s="682"/>
      <c r="I127" s="682"/>
      <c r="J127" s="682"/>
      <c r="K127" s="692"/>
      <c r="L127" s="699"/>
      <c r="N127" s="1"/>
      <c r="O127" s="1"/>
      <c r="P127" s="1"/>
      <c r="Q127" s="1"/>
      <c r="R127" s="1"/>
      <c r="S127" s="780"/>
    </row>
    <row r="128" spans="2:19" s="467" customFormat="1" ht="15" hidden="1" customHeight="1" outlineLevel="1" x14ac:dyDescent="0.35">
      <c r="B128" s="759" t="s">
        <v>2245</v>
      </c>
      <c r="C128" s="677" t="s">
        <v>1849</v>
      </c>
      <c r="D128" s="665">
        <v>2</v>
      </c>
      <c r="E128" s="722">
        <v>12</v>
      </c>
      <c r="F128" s="669" t="s">
        <v>2387</v>
      </c>
      <c r="G128" s="682"/>
      <c r="H128" s="682"/>
      <c r="I128" s="682"/>
      <c r="J128" s="682"/>
      <c r="K128" s="692"/>
      <c r="L128" s="699"/>
      <c r="N128" s="1"/>
      <c r="O128" s="1"/>
      <c r="P128" s="1"/>
      <c r="Q128" s="1"/>
      <c r="R128" s="1"/>
      <c r="S128" s="780"/>
    </row>
    <row r="129" spans="1:19" s="467" customFormat="1" ht="15" hidden="1" customHeight="1" outlineLevel="1" x14ac:dyDescent="0.35">
      <c r="B129" s="759" t="s">
        <v>2245</v>
      </c>
      <c r="C129" s="677" t="s">
        <v>1997</v>
      </c>
      <c r="D129" s="665">
        <v>3</v>
      </c>
      <c r="E129" s="722">
        <v>14</v>
      </c>
      <c r="F129" s="669" t="s">
        <v>2387</v>
      </c>
      <c r="G129" s="682"/>
      <c r="H129" s="682"/>
      <c r="I129" s="682"/>
      <c r="J129" s="682"/>
      <c r="K129" s="692"/>
      <c r="L129" s="699"/>
      <c r="N129" s="1"/>
      <c r="O129" s="1"/>
      <c r="P129" s="1"/>
      <c r="Q129" s="1"/>
      <c r="R129" s="1"/>
      <c r="S129" s="780"/>
    </row>
    <row r="130" spans="1:19" s="467" customFormat="1" ht="15" hidden="1" customHeight="1" outlineLevel="1" x14ac:dyDescent="0.35">
      <c r="B130" s="759" t="s">
        <v>2245</v>
      </c>
      <c r="C130" s="700" t="s">
        <v>2312</v>
      </c>
      <c r="D130" s="665">
        <v>4</v>
      </c>
      <c r="E130" s="722">
        <v>15</v>
      </c>
      <c r="F130" s="669" t="s">
        <v>2386</v>
      </c>
      <c r="G130" s="851" t="s">
        <v>2389</v>
      </c>
      <c r="H130" s="682"/>
      <c r="I130" s="682"/>
      <c r="J130" s="682"/>
      <c r="K130" s="692"/>
      <c r="L130" s="699"/>
      <c r="N130" s="1"/>
      <c r="O130" s="1"/>
      <c r="P130" s="1"/>
      <c r="Q130" s="1"/>
      <c r="R130" s="1"/>
      <c r="S130" s="780"/>
    </row>
    <row r="131" spans="1:19" s="467" customFormat="1" ht="15" hidden="1" customHeight="1" outlineLevel="1" x14ac:dyDescent="0.35">
      <c r="B131" s="759" t="s">
        <v>2245</v>
      </c>
      <c r="C131" s="700" t="s">
        <v>2313</v>
      </c>
      <c r="D131" s="665">
        <v>5</v>
      </c>
      <c r="E131" s="722">
        <v>5</v>
      </c>
      <c r="F131" s="669" t="s">
        <v>2391</v>
      </c>
      <c r="G131" s="682" t="s">
        <v>2392</v>
      </c>
      <c r="H131" s="682"/>
      <c r="I131" s="682"/>
      <c r="J131" s="682"/>
      <c r="K131" s="692"/>
      <c r="L131" s="699"/>
      <c r="N131" s="1"/>
      <c r="O131" s="1"/>
      <c r="P131" s="1"/>
      <c r="Q131" s="1"/>
      <c r="R131" s="1"/>
      <c r="S131" s="780"/>
    </row>
    <row r="132" spans="1:19" s="467" customFormat="1" ht="15" hidden="1" customHeight="1" outlineLevel="1" x14ac:dyDescent="0.35">
      <c r="B132" s="759" t="s">
        <v>2245</v>
      </c>
      <c r="C132" s="677" t="s">
        <v>1970</v>
      </c>
      <c r="D132" s="665">
        <v>8</v>
      </c>
      <c r="E132" s="722">
        <v>8</v>
      </c>
      <c r="F132" s="669" t="s">
        <v>2388</v>
      </c>
      <c r="G132" s="851" t="s">
        <v>2390</v>
      </c>
      <c r="H132" s="682"/>
      <c r="I132" s="682"/>
      <c r="J132" s="682"/>
      <c r="K132" s="692"/>
      <c r="L132" s="699"/>
      <c r="N132" s="1"/>
      <c r="O132" s="1"/>
      <c r="P132" s="1"/>
      <c r="Q132" s="1"/>
      <c r="R132" s="1"/>
      <c r="S132" s="780"/>
    </row>
    <row r="133" spans="1:19" s="467" customFormat="1" ht="15" hidden="1" customHeight="1" outlineLevel="1" x14ac:dyDescent="0.35">
      <c r="B133" s="759" t="s">
        <v>2245</v>
      </c>
      <c r="C133" s="682" t="s">
        <v>2314</v>
      </c>
      <c r="D133" s="665">
        <v>10</v>
      </c>
      <c r="E133" s="722">
        <v>13</v>
      </c>
      <c r="F133" s="669" t="s">
        <v>2387</v>
      </c>
      <c r="G133" s="682"/>
      <c r="H133" s="682"/>
      <c r="I133" s="682"/>
      <c r="J133" s="682"/>
      <c r="K133" s="692"/>
      <c r="L133" s="699"/>
      <c r="N133" s="1"/>
      <c r="O133" s="1"/>
      <c r="P133" s="1"/>
      <c r="Q133" s="1"/>
      <c r="R133" s="1"/>
      <c r="S133" s="780"/>
    </row>
    <row r="134" spans="1:19" s="467" customFormat="1" ht="15" hidden="1" customHeight="1" outlineLevel="1" thickBot="1" x14ac:dyDescent="0.4">
      <c r="B134" s="763"/>
      <c r="C134" s="688"/>
      <c r="D134" s="671"/>
      <c r="E134" s="723"/>
      <c r="F134" s="724"/>
      <c r="G134" s="725"/>
      <c r="H134" s="725"/>
      <c r="I134" s="725"/>
      <c r="J134" s="725"/>
      <c r="K134" s="697"/>
      <c r="L134" s="726"/>
      <c r="N134" s="1"/>
      <c r="O134" s="1"/>
      <c r="P134" s="1"/>
      <c r="Q134" s="1"/>
      <c r="R134" s="1"/>
      <c r="S134" s="780"/>
    </row>
    <row r="135" spans="1:19" ht="15.5" collapsed="1" thickTop="1" thickBot="1" x14ac:dyDescent="0.4">
      <c r="B135" s="2"/>
    </row>
    <row r="136" spans="1:19" ht="23" thickBot="1" x14ac:dyDescent="0.4">
      <c r="B136" s="524"/>
      <c r="C136" s="525" t="s">
        <v>1717</v>
      </c>
      <c r="D136" s="525"/>
      <c r="E136" s="525"/>
      <c r="F136" s="525"/>
      <c r="G136" s="525"/>
      <c r="H136" s="525"/>
      <c r="I136" s="525"/>
      <c r="J136" s="525"/>
      <c r="K136" s="527"/>
      <c r="L136" s="526"/>
    </row>
    <row r="137" spans="1:19" s="2" customFormat="1" ht="15.5" hidden="1" outlineLevel="1" thickTop="1" thickBot="1" x14ac:dyDescent="0.4">
      <c r="B137" s="721"/>
      <c r="C137" s="719" t="s">
        <v>0</v>
      </c>
      <c r="D137" s="719"/>
      <c r="E137" s="719"/>
      <c r="F137" s="719"/>
      <c r="G137" s="719"/>
      <c r="H137" s="719"/>
      <c r="I137" s="719"/>
      <c r="J137" s="719"/>
      <c r="K137" s="719"/>
      <c r="L137" s="720"/>
      <c r="M137" s="385"/>
      <c r="S137" s="783"/>
    </row>
    <row r="138" spans="1:19" ht="15" hidden="1" outlineLevel="1" thickTop="1" x14ac:dyDescent="0.35">
      <c r="A138" s="483"/>
      <c r="B138" s="762" t="s">
        <v>2246</v>
      </c>
      <c r="C138" s="757" t="s">
        <v>1295</v>
      </c>
      <c r="D138" s="664"/>
      <c r="E138" s="664"/>
      <c r="F138" s="664"/>
      <c r="G138" s="664"/>
      <c r="H138" s="664"/>
      <c r="I138" s="664"/>
      <c r="J138" s="664"/>
      <c r="K138" s="664"/>
      <c r="L138" s="666"/>
    </row>
    <row r="139" spans="1:19" hidden="1" outlineLevel="1" x14ac:dyDescent="0.35">
      <c r="A139" s="483"/>
      <c r="B139" s="762" t="s">
        <v>2246</v>
      </c>
      <c r="C139" s="664" t="s">
        <v>2287</v>
      </c>
      <c r="D139" s="664"/>
      <c r="E139" s="664"/>
      <c r="F139" s="664"/>
      <c r="G139" s="664"/>
      <c r="H139" s="664"/>
      <c r="I139" s="664"/>
      <c r="J139" s="664"/>
      <c r="K139" s="664"/>
      <c r="L139" s="666"/>
    </row>
    <row r="140" spans="1:19" hidden="1" outlineLevel="1" x14ac:dyDescent="0.35">
      <c r="A140" s="483"/>
      <c r="B140" s="762" t="s">
        <v>2246</v>
      </c>
      <c r="C140" s="664" t="s">
        <v>1542</v>
      </c>
      <c r="D140" s="664"/>
      <c r="E140" s="664"/>
      <c r="F140" s="664"/>
      <c r="G140" s="664"/>
      <c r="H140" s="664"/>
      <c r="I140" s="664"/>
      <c r="J140" s="664"/>
      <c r="K140" s="664"/>
      <c r="L140" s="666"/>
    </row>
    <row r="141" spans="1:19" hidden="1" outlineLevel="1" x14ac:dyDescent="0.35">
      <c r="A141" s="483"/>
      <c r="B141" s="762" t="s">
        <v>2246</v>
      </c>
      <c r="C141" s="664" t="s">
        <v>1296</v>
      </c>
      <c r="D141" s="664"/>
      <c r="E141" s="664"/>
      <c r="F141" s="664"/>
      <c r="G141" s="664"/>
      <c r="H141" s="664"/>
      <c r="I141" s="664"/>
      <c r="J141" s="664"/>
      <c r="K141" s="664"/>
      <c r="L141" s="666"/>
    </row>
    <row r="142" spans="1:19" hidden="1" outlineLevel="1" x14ac:dyDescent="0.35">
      <c r="A142" s="483"/>
      <c r="B142" s="762" t="s">
        <v>2246</v>
      </c>
      <c r="C142" s="664" t="s">
        <v>1297</v>
      </c>
      <c r="D142" s="664"/>
      <c r="E142" s="664"/>
      <c r="F142" s="664"/>
      <c r="G142" s="664"/>
      <c r="H142" s="664"/>
      <c r="I142" s="664"/>
      <c r="J142" s="664"/>
      <c r="K142" s="664"/>
      <c r="L142" s="666"/>
    </row>
    <row r="143" spans="1:19" hidden="1" outlineLevel="1" x14ac:dyDescent="0.35">
      <c r="A143" s="483"/>
      <c r="B143" s="762" t="s">
        <v>2246</v>
      </c>
      <c r="C143" s="664" t="s">
        <v>1299</v>
      </c>
      <c r="D143" s="664"/>
      <c r="E143" s="664"/>
      <c r="F143" s="664"/>
      <c r="G143" s="664"/>
      <c r="H143" s="664"/>
      <c r="I143" s="664"/>
      <c r="J143" s="664"/>
      <c r="K143" s="664"/>
      <c r="L143" s="666"/>
    </row>
    <row r="144" spans="1:19" hidden="1" outlineLevel="1" x14ac:dyDescent="0.35">
      <c r="A144" s="483"/>
      <c r="B144" s="762" t="s">
        <v>2246</v>
      </c>
      <c r="C144" s="664" t="s">
        <v>1300</v>
      </c>
      <c r="D144" s="664"/>
      <c r="E144" s="664"/>
      <c r="F144" s="664"/>
      <c r="G144" s="664"/>
      <c r="H144" s="664"/>
      <c r="I144" s="664"/>
      <c r="J144" s="664"/>
      <c r="K144" s="664"/>
      <c r="L144" s="666"/>
    </row>
    <row r="145" spans="1:19" hidden="1" outlineLevel="1" x14ac:dyDescent="0.35">
      <c r="A145" s="483"/>
      <c r="B145" s="762" t="s">
        <v>2246</v>
      </c>
      <c r="C145" s="664" t="s">
        <v>1301</v>
      </c>
      <c r="D145" s="664"/>
      <c r="E145" s="664"/>
      <c r="F145" s="664"/>
      <c r="G145" s="664"/>
      <c r="H145" s="664"/>
      <c r="I145" s="664"/>
      <c r="J145" s="664"/>
      <c r="K145" s="664"/>
      <c r="L145" s="666"/>
    </row>
    <row r="146" spans="1:19" hidden="1" outlineLevel="1" x14ac:dyDescent="0.35">
      <c r="A146" s="483"/>
      <c r="B146" s="762" t="s">
        <v>2246</v>
      </c>
      <c r="C146" s="664" t="s">
        <v>1302</v>
      </c>
      <c r="D146" s="664"/>
      <c r="E146" s="664"/>
      <c r="F146" s="664"/>
      <c r="G146" s="664"/>
      <c r="H146" s="664"/>
      <c r="I146" s="664"/>
      <c r="J146" s="664"/>
      <c r="K146" s="664"/>
      <c r="L146" s="666"/>
    </row>
    <row r="147" spans="1:19" hidden="1" outlineLevel="1" x14ac:dyDescent="0.35">
      <c r="A147" s="483"/>
      <c r="B147" s="762" t="s">
        <v>2246</v>
      </c>
      <c r="C147" s="664" t="s">
        <v>1303</v>
      </c>
      <c r="D147" s="664"/>
      <c r="E147" s="664"/>
      <c r="F147" s="664"/>
      <c r="G147" s="664"/>
      <c r="H147" s="664"/>
      <c r="I147" s="664"/>
      <c r="J147" s="664"/>
      <c r="K147" s="664"/>
      <c r="L147" s="666"/>
    </row>
    <row r="148" spans="1:19" hidden="1" outlineLevel="1" x14ac:dyDescent="0.35">
      <c r="A148" s="483"/>
      <c r="B148" s="762" t="s">
        <v>2246</v>
      </c>
      <c r="C148" s="664" t="s">
        <v>1304</v>
      </c>
      <c r="D148" s="664"/>
      <c r="E148" s="664"/>
      <c r="F148" s="664"/>
      <c r="G148" s="664"/>
      <c r="H148" s="664"/>
      <c r="I148" s="664"/>
      <c r="J148" s="664"/>
      <c r="K148" s="664"/>
      <c r="L148" s="666"/>
    </row>
    <row r="149" spans="1:19" hidden="1" outlineLevel="1" x14ac:dyDescent="0.35">
      <c r="A149" s="483"/>
      <c r="B149" s="762" t="s">
        <v>2246</v>
      </c>
      <c r="C149" s="664" t="s">
        <v>1306</v>
      </c>
      <c r="D149" s="664"/>
      <c r="E149" s="664"/>
      <c r="F149" s="664"/>
      <c r="G149" s="664"/>
      <c r="H149" s="664"/>
      <c r="I149" s="664"/>
      <c r="J149" s="664"/>
      <c r="K149" s="664"/>
      <c r="L149" s="666"/>
    </row>
    <row r="150" spans="1:19" hidden="1" outlineLevel="1" x14ac:dyDescent="0.35">
      <c r="A150" s="483"/>
      <c r="B150" s="762" t="s">
        <v>2246</v>
      </c>
      <c r="C150" s="664" t="s">
        <v>1307</v>
      </c>
      <c r="D150" s="664"/>
      <c r="E150" s="664"/>
      <c r="F150" s="664"/>
      <c r="G150" s="664"/>
      <c r="H150" s="664"/>
      <c r="I150" s="664"/>
      <c r="J150" s="664"/>
      <c r="K150" s="664"/>
      <c r="L150" s="666"/>
    </row>
    <row r="151" spans="1:19" ht="15" hidden="1" outlineLevel="1" thickBot="1" x14ac:dyDescent="0.4">
      <c r="A151" s="483"/>
      <c r="B151" s="761"/>
      <c r="C151" s="670"/>
      <c r="D151" s="670"/>
      <c r="E151" s="670"/>
      <c r="F151" s="670"/>
      <c r="G151" s="670"/>
      <c r="H151" s="670"/>
      <c r="I151" s="670"/>
      <c r="J151" s="670"/>
      <c r="K151" s="670"/>
      <c r="L151" s="711"/>
    </row>
    <row r="152" spans="1:19" ht="15.5" collapsed="1" thickTop="1" thickBot="1" x14ac:dyDescent="0.4">
      <c r="B152" s="2"/>
      <c r="K152" s="1"/>
    </row>
    <row r="153" spans="1:19" ht="23" thickBot="1" x14ac:dyDescent="0.4">
      <c r="B153" s="524"/>
      <c r="C153" s="525" t="s">
        <v>11</v>
      </c>
      <c r="D153" s="525"/>
      <c r="E153" s="525"/>
      <c r="F153" s="525"/>
      <c r="G153" s="525"/>
      <c r="H153" s="525"/>
      <c r="I153" s="525"/>
      <c r="J153" s="525"/>
      <c r="K153" s="527"/>
      <c r="L153" s="526"/>
    </row>
    <row r="154" spans="1:19" s="2" customFormat="1" ht="15.5" hidden="1" outlineLevel="1" thickTop="1" thickBot="1" x14ac:dyDescent="0.4">
      <c r="B154" s="721"/>
      <c r="C154" s="719" t="s">
        <v>0</v>
      </c>
      <c r="D154" s="719"/>
      <c r="E154" s="719"/>
      <c r="F154" s="719"/>
      <c r="G154" s="719"/>
      <c r="H154" s="719"/>
      <c r="I154" s="719"/>
      <c r="J154" s="719"/>
      <c r="K154" s="719"/>
      <c r="L154" s="720"/>
      <c r="M154" s="385"/>
      <c r="S154" s="783"/>
    </row>
    <row r="155" spans="1:19" ht="15" hidden="1" outlineLevel="1" thickTop="1" x14ac:dyDescent="0.35">
      <c r="A155" s="483"/>
      <c r="B155" s="762" t="s">
        <v>2247</v>
      </c>
      <c r="C155" s="757" t="s">
        <v>1035</v>
      </c>
      <c r="D155" s="664"/>
      <c r="E155" s="664"/>
      <c r="F155" s="664"/>
      <c r="G155" s="664"/>
      <c r="H155" s="664"/>
      <c r="I155" s="664"/>
      <c r="J155" s="664"/>
      <c r="K155" s="664"/>
      <c r="L155" s="666"/>
    </row>
    <row r="156" spans="1:19" hidden="1" outlineLevel="1" x14ac:dyDescent="0.35">
      <c r="A156" s="483"/>
      <c r="B156" s="762" t="s">
        <v>2247</v>
      </c>
      <c r="C156" s="664" t="s">
        <v>12</v>
      </c>
      <c r="D156" s="664"/>
      <c r="E156" s="664"/>
      <c r="F156" s="664"/>
      <c r="G156" s="664"/>
      <c r="H156" s="664"/>
      <c r="I156" s="664"/>
      <c r="J156" s="664"/>
      <c r="K156" s="664"/>
      <c r="L156" s="666"/>
    </row>
    <row r="157" spans="1:19" hidden="1" outlineLevel="1" x14ac:dyDescent="0.35">
      <c r="A157" s="483"/>
      <c r="B157" s="762" t="s">
        <v>2247</v>
      </c>
      <c r="C157" s="664" t="s">
        <v>13</v>
      </c>
      <c r="D157" s="664"/>
      <c r="E157" s="664"/>
      <c r="F157" s="664"/>
      <c r="G157" s="664"/>
      <c r="H157" s="664"/>
      <c r="I157" s="664"/>
      <c r="J157" s="664"/>
      <c r="K157" s="664"/>
      <c r="L157" s="666"/>
    </row>
    <row r="158" spans="1:19" hidden="1" outlineLevel="1" x14ac:dyDescent="0.35">
      <c r="A158" s="483"/>
      <c r="B158" s="762" t="s">
        <v>2247</v>
      </c>
      <c r="C158" s="664" t="s">
        <v>14</v>
      </c>
      <c r="D158" s="664"/>
      <c r="E158" s="664"/>
      <c r="F158" s="664"/>
      <c r="G158" s="664"/>
      <c r="H158" s="664"/>
      <c r="I158" s="664"/>
      <c r="J158" s="664"/>
      <c r="K158" s="664"/>
      <c r="L158" s="666"/>
    </row>
    <row r="159" spans="1:19" hidden="1" outlineLevel="1" x14ac:dyDescent="0.35">
      <c r="A159" s="483"/>
      <c r="B159" s="762" t="s">
        <v>2247</v>
      </c>
      <c r="C159" s="664" t="s">
        <v>15</v>
      </c>
      <c r="D159" s="664"/>
      <c r="E159" s="664"/>
      <c r="F159" s="664"/>
      <c r="G159" s="664"/>
      <c r="H159" s="664"/>
      <c r="I159" s="664"/>
      <c r="J159" s="664"/>
      <c r="K159" s="664"/>
      <c r="L159" s="666"/>
    </row>
    <row r="160" spans="1:19" hidden="1" outlineLevel="1" x14ac:dyDescent="0.35">
      <c r="A160" s="483"/>
      <c r="B160" s="762" t="s">
        <v>2247</v>
      </c>
      <c r="C160" s="664" t="s">
        <v>16</v>
      </c>
      <c r="D160" s="664"/>
      <c r="E160" s="664"/>
      <c r="F160" s="664"/>
      <c r="G160" s="664"/>
      <c r="H160" s="664"/>
      <c r="I160" s="664"/>
      <c r="J160" s="664"/>
      <c r="K160" s="664"/>
      <c r="L160" s="666"/>
    </row>
    <row r="161" spans="1:19" hidden="1" outlineLevel="1" x14ac:dyDescent="0.35">
      <c r="A161" s="483"/>
      <c r="B161" s="762" t="s">
        <v>2247</v>
      </c>
      <c r="C161" s="664" t="s">
        <v>17</v>
      </c>
      <c r="D161" s="664"/>
      <c r="E161" s="664"/>
      <c r="F161" s="664"/>
      <c r="G161" s="664"/>
      <c r="H161" s="664"/>
      <c r="I161" s="664"/>
      <c r="J161" s="664"/>
      <c r="K161" s="664"/>
      <c r="L161" s="666"/>
    </row>
    <row r="162" spans="1:19" ht="15" hidden="1" outlineLevel="1" thickBot="1" x14ac:dyDescent="0.4">
      <c r="A162" s="483"/>
      <c r="B162" s="761"/>
      <c r="C162" s="670"/>
      <c r="D162" s="670"/>
      <c r="E162" s="670"/>
      <c r="F162" s="670"/>
      <c r="G162" s="670"/>
      <c r="H162" s="670"/>
      <c r="I162" s="670"/>
      <c r="J162" s="670"/>
      <c r="K162" s="670"/>
      <c r="L162" s="711"/>
    </row>
    <row r="163" spans="1:19" ht="15.5" collapsed="1" thickTop="1" thickBot="1" x14ac:dyDescent="0.4">
      <c r="B163" s="2"/>
    </row>
    <row r="164" spans="1:19" ht="23" thickBot="1" x14ac:dyDescent="0.4">
      <c r="B164" s="524"/>
      <c r="C164" s="525" t="s">
        <v>18</v>
      </c>
      <c r="D164" s="525"/>
      <c r="E164" s="525"/>
      <c r="F164" s="525"/>
      <c r="G164" s="525"/>
      <c r="H164" s="525"/>
      <c r="I164" s="525"/>
      <c r="J164" s="525"/>
      <c r="K164" s="527"/>
      <c r="L164" s="526"/>
    </row>
    <row r="165" spans="1:19" s="2" customFormat="1" ht="15.5" hidden="1" outlineLevel="1" thickTop="1" thickBot="1" x14ac:dyDescent="0.4">
      <c r="B165" s="721"/>
      <c r="C165" s="719" t="s">
        <v>0</v>
      </c>
      <c r="D165" s="719"/>
      <c r="E165" s="719"/>
      <c r="F165" s="719"/>
      <c r="G165" s="719"/>
      <c r="H165" s="719"/>
      <c r="I165" s="719"/>
      <c r="J165" s="719"/>
      <c r="K165" s="719"/>
      <c r="L165" s="720"/>
      <c r="M165" s="385"/>
      <c r="S165" s="783"/>
    </row>
    <row r="166" spans="1:19" ht="15" hidden="1" outlineLevel="1" thickTop="1" x14ac:dyDescent="0.35">
      <c r="A166" s="483"/>
      <c r="B166" s="762" t="s">
        <v>1998</v>
      </c>
      <c r="C166" s="757" t="s">
        <v>1537</v>
      </c>
      <c r="D166" s="664"/>
      <c r="E166" s="664"/>
      <c r="F166" s="664"/>
      <c r="G166" s="664"/>
      <c r="H166" s="664"/>
      <c r="I166" s="664"/>
      <c r="J166" s="664"/>
      <c r="K166" s="664"/>
      <c r="L166" s="666"/>
    </row>
    <row r="167" spans="1:19" hidden="1" outlineLevel="1" x14ac:dyDescent="0.35">
      <c r="A167" s="483"/>
      <c r="B167" s="762" t="s">
        <v>1998</v>
      </c>
      <c r="C167" s="664" t="s">
        <v>12</v>
      </c>
      <c r="D167" s="664"/>
      <c r="E167" s="664"/>
      <c r="F167" s="664"/>
      <c r="G167" s="664"/>
      <c r="H167" s="664"/>
      <c r="I167" s="664"/>
      <c r="J167" s="664"/>
      <c r="K167" s="664"/>
      <c r="L167" s="666"/>
    </row>
    <row r="168" spans="1:19" hidden="1" outlineLevel="1" x14ac:dyDescent="0.35">
      <c r="A168" s="483"/>
      <c r="B168" s="762" t="s">
        <v>1998</v>
      </c>
      <c r="C168" s="664" t="s">
        <v>13</v>
      </c>
      <c r="D168" s="664"/>
      <c r="E168" s="664"/>
      <c r="F168" s="664"/>
      <c r="G168" s="664"/>
      <c r="H168" s="664"/>
      <c r="I168" s="664"/>
      <c r="J168" s="664"/>
      <c r="K168" s="664"/>
      <c r="L168" s="666"/>
    </row>
    <row r="169" spans="1:19" hidden="1" outlineLevel="1" x14ac:dyDescent="0.35">
      <c r="A169" s="483"/>
      <c r="B169" s="762" t="s">
        <v>1998</v>
      </c>
      <c r="C169" s="664" t="s">
        <v>19</v>
      </c>
      <c r="D169" s="664"/>
      <c r="E169" s="664"/>
      <c r="F169" s="664"/>
      <c r="G169" s="664"/>
      <c r="H169" s="664"/>
      <c r="I169" s="664"/>
      <c r="J169" s="664"/>
      <c r="K169" s="664"/>
      <c r="L169" s="666"/>
    </row>
    <row r="170" spans="1:19" hidden="1" outlineLevel="1" x14ac:dyDescent="0.35">
      <c r="A170" s="483"/>
      <c r="B170" s="762" t="s">
        <v>1998</v>
      </c>
      <c r="C170" s="664" t="s">
        <v>36</v>
      </c>
      <c r="D170" s="664"/>
      <c r="E170" s="664"/>
      <c r="F170" s="664"/>
      <c r="G170" s="664"/>
      <c r="H170" s="664"/>
      <c r="I170" s="664"/>
      <c r="J170" s="664"/>
      <c r="K170" s="664"/>
      <c r="L170" s="666"/>
    </row>
    <row r="171" spans="1:19" hidden="1" outlineLevel="1" x14ac:dyDescent="0.35">
      <c r="A171" s="483"/>
      <c r="B171" s="762" t="s">
        <v>1998</v>
      </c>
      <c r="C171" s="664" t="s">
        <v>1538</v>
      </c>
      <c r="D171" s="664"/>
      <c r="E171" s="664"/>
      <c r="F171" s="664"/>
      <c r="G171" s="664"/>
      <c r="H171" s="664"/>
      <c r="I171" s="664"/>
      <c r="J171" s="664"/>
      <c r="K171" s="664"/>
      <c r="L171" s="666"/>
    </row>
    <row r="172" spans="1:19" hidden="1" outlineLevel="1" x14ac:dyDescent="0.35">
      <c r="A172" s="483"/>
      <c r="B172" s="762" t="s">
        <v>1998</v>
      </c>
      <c r="C172" s="664" t="s">
        <v>1539</v>
      </c>
      <c r="D172" s="664"/>
      <c r="E172" s="664"/>
      <c r="F172" s="664"/>
      <c r="G172" s="664"/>
      <c r="H172" s="664"/>
      <c r="I172" s="664"/>
      <c r="J172" s="664"/>
      <c r="K172" s="664"/>
      <c r="L172" s="666"/>
    </row>
    <row r="173" spans="1:19" hidden="1" outlineLevel="1" x14ac:dyDescent="0.35">
      <c r="A173" s="483"/>
      <c r="B173" s="762" t="s">
        <v>1998</v>
      </c>
      <c r="C173" s="664" t="s">
        <v>15</v>
      </c>
      <c r="D173" s="664"/>
      <c r="E173" s="664"/>
      <c r="F173" s="664"/>
      <c r="G173" s="664"/>
      <c r="H173" s="664"/>
      <c r="I173" s="664"/>
      <c r="J173" s="664"/>
      <c r="K173" s="664"/>
      <c r="L173" s="666"/>
    </row>
    <row r="174" spans="1:19" hidden="1" outlineLevel="1" x14ac:dyDescent="0.35">
      <c r="A174" s="483"/>
      <c r="B174" s="762" t="s">
        <v>1998</v>
      </c>
      <c r="C174" s="664" t="s">
        <v>20</v>
      </c>
      <c r="D174" s="664"/>
      <c r="E174" s="664"/>
      <c r="F174" s="664"/>
      <c r="G174" s="664"/>
      <c r="H174" s="664"/>
      <c r="I174" s="664"/>
      <c r="J174" s="664"/>
      <c r="K174" s="664"/>
      <c r="L174" s="666"/>
    </row>
    <row r="175" spans="1:19" hidden="1" outlineLevel="1" x14ac:dyDescent="0.35">
      <c r="A175" s="483"/>
      <c r="B175" s="762" t="s">
        <v>1998</v>
      </c>
      <c r="C175" s="664" t="s">
        <v>16</v>
      </c>
      <c r="D175" s="664"/>
      <c r="E175" s="664"/>
      <c r="F175" s="664"/>
      <c r="G175" s="664"/>
      <c r="H175" s="664"/>
      <c r="I175" s="664"/>
      <c r="J175" s="664"/>
      <c r="K175" s="664"/>
      <c r="L175" s="666"/>
    </row>
    <row r="176" spans="1:19" hidden="1" outlineLevel="1" x14ac:dyDescent="0.35">
      <c r="A176" s="483"/>
      <c r="B176" s="762" t="s">
        <v>1998</v>
      </c>
      <c r="C176" s="664" t="s">
        <v>17</v>
      </c>
      <c r="D176" s="664"/>
      <c r="E176" s="664"/>
      <c r="F176" s="664"/>
      <c r="G176" s="664"/>
      <c r="H176" s="664"/>
      <c r="I176" s="664"/>
      <c r="J176" s="664"/>
      <c r="K176" s="664"/>
      <c r="L176" s="666"/>
    </row>
    <row r="177" spans="1:19" hidden="1" outlineLevel="1" x14ac:dyDescent="0.35">
      <c r="A177" s="483"/>
      <c r="B177" s="762" t="s">
        <v>1998</v>
      </c>
      <c r="C177" s="664" t="s">
        <v>21</v>
      </c>
      <c r="D177" s="664"/>
      <c r="E177" s="664"/>
      <c r="F177" s="664"/>
      <c r="G177" s="664"/>
      <c r="H177" s="664"/>
      <c r="I177" s="664"/>
      <c r="J177" s="664"/>
      <c r="K177" s="664"/>
      <c r="L177" s="666"/>
    </row>
    <row r="178" spans="1:19" hidden="1" outlineLevel="1" x14ac:dyDescent="0.35">
      <c r="A178" s="483"/>
      <c r="B178" s="762" t="s">
        <v>1998</v>
      </c>
      <c r="C178" s="664" t="s">
        <v>22</v>
      </c>
      <c r="D178" s="664"/>
      <c r="E178" s="664"/>
      <c r="F178" s="664"/>
      <c r="G178" s="664"/>
      <c r="H178" s="664"/>
      <c r="I178" s="664"/>
      <c r="J178" s="664"/>
      <c r="K178" s="664"/>
      <c r="L178" s="666"/>
    </row>
    <row r="179" spans="1:19" hidden="1" outlineLevel="1" x14ac:dyDescent="0.35">
      <c r="A179" s="483"/>
      <c r="B179" s="762" t="s">
        <v>1998</v>
      </c>
      <c r="C179" s="664" t="s">
        <v>23</v>
      </c>
      <c r="D179" s="664"/>
      <c r="E179" s="664"/>
      <c r="F179" s="664"/>
      <c r="G179" s="664"/>
      <c r="H179" s="664"/>
      <c r="I179" s="664"/>
      <c r="J179" s="664"/>
      <c r="K179" s="664"/>
      <c r="L179" s="666"/>
    </row>
    <row r="180" spans="1:19" hidden="1" outlineLevel="1" x14ac:dyDescent="0.35">
      <c r="A180" s="483"/>
      <c r="B180" s="762" t="s">
        <v>1998</v>
      </c>
      <c r="C180" s="664" t="s">
        <v>24</v>
      </c>
      <c r="D180" s="664"/>
      <c r="E180" s="664"/>
      <c r="F180" s="664"/>
      <c r="G180" s="664"/>
      <c r="H180" s="664"/>
      <c r="I180" s="664"/>
      <c r="J180" s="664"/>
      <c r="K180" s="664"/>
      <c r="L180" s="666"/>
    </row>
    <row r="181" spans="1:19" hidden="1" outlineLevel="1" x14ac:dyDescent="0.35">
      <c r="A181" s="483"/>
      <c r="B181" s="762" t="s">
        <v>1998</v>
      </c>
      <c r="C181" s="664" t="s">
        <v>1075</v>
      </c>
      <c r="D181" s="664"/>
      <c r="E181" s="664"/>
      <c r="F181" s="664"/>
      <c r="G181" s="664"/>
      <c r="H181" s="664"/>
      <c r="I181" s="664"/>
      <c r="J181" s="664"/>
      <c r="K181" s="664"/>
      <c r="L181" s="666"/>
    </row>
    <row r="182" spans="1:19" hidden="1" outlineLevel="1" x14ac:dyDescent="0.35">
      <c r="A182" s="483"/>
      <c r="B182" s="762" t="s">
        <v>1998</v>
      </c>
      <c r="C182" s="664" t="s">
        <v>1076</v>
      </c>
      <c r="D182" s="664"/>
      <c r="E182" s="664"/>
      <c r="F182" s="664"/>
      <c r="G182" s="664"/>
      <c r="H182" s="664"/>
      <c r="I182" s="664"/>
      <c r="J182" s="664"/>
      <c r="K182" s="664"/>
      <c r="L182" s="666"/>
    </row>
    <row r="183" spans="1:19" hidden="1" outlineLevel="1" x14ac:dyDescent="0.35">
      <c r="A183" s="483"/>
      <c r="B183" s="762" t="s">
        <v>1998</v>
      </c>
      <c r="C183" s="664" t="s">
        <v>1078</v>
      </c>
      <c r="D183" s="664"/>
      <c r="E183" s="664"/>
      <c r="F183" s="664"/>
      <c r="G183" s="664"/>
      <c r="H183" s="664"/>
      <c r="I183" s="664"/>
      <c r="J183" s="664"/>
      <c r="K183" s="664"/>
      <c r="L183" s="666"/>
    </row>
    <row r="184" spans="1:19" hidden="1" outlineLevel="1" x14ac:dyDescent="0.35">
      <c r="A184" s="483"/>
      <c r="B184" s="762" t="s">
        <v>1998</v>
      </c>
      <c r="C184" s="664" t="s">
        <v>1077</v>
      </c>
      <c r="D184" s="664"/>
      <c r="E184" s="664"/>
      <c r="F184" s="664"/>
      <c r="G184" s="664"/>
      <c r="H184" s="664"/>
      <c r="I184" s="664"/>
      <c r="J184" s="664"/>
      <c r="K184" s="664"/>
      <c r="L184" s="666"/>
    </row>
    <row r="185" spans="1:19" hidden="1" outlineLevel="1" x14ac:dyDescent="0.35">
      <c r="A185" s="483"/>
      <c r="B185" s="762" t="s">
        <v>1998</v>
      </c>
      <c r="C185" s="664" t="s">
        <v>1473</v>
      </c>
      <c r="D185" s="664"/>
      <c r="E185" s="664"/>
      <c r="F185" s="664"/>
      <c r="G185" s="664"/>
      <c r="H185" s="664"/>
      <c r="I185" s="664"/>
      <c r="J185" s="664"/>
      <c r="K185" s="664"/>
      <c r="L185" s="666"/>
    </row>
    <row r="186" spans="1:19" ht="15" hidden="1" outlineLevel="1" thickBot="1" x14ac:dyDescent="0.4">
      <c r="A186" s="483"/>
      <c r="B186" s="761"/>
      <c r="C186" s="670"/>
      <c r="D186" s="670"/>
      <c r="E186" s="670"/>
      <c r="F186" s="670"/>
      <c r="G186" s="670"/>
      <c r="H186" s="670"/>
      <c r="I186" s="670"/>
      <c r="J186" s="670"/>
      <c r="K186" s="670"/>
      <c r="L186" s="711"/>
    </row>
    <row r="187" spans="1:19" ht="15.5" collapsed="1" thickTop="1" thickBot="1" x14ac:dyDescent="0.4">
      <c r="B187" s="2"/>
    </row>
    <row r="188" spans="1:19" ht="23" thickBot="1" x14ac:dyDescent="0.4">
      <c r="B188" s="524"/>
      <c r="C188" s="525" t="s">
        <v>25</v>
      </c>
      <c r="D188" s="525"/>
      <c r="E188" s="525"/>
      <c r="F188" s="525"/>
      <c r="G188" s="525"/>
      <c r="H188" s="525"/>
      <c r="I188" s="525"/>
      <c r="J188" s="525"/>
      <c r="K188" s="527"/>
      <c r="L188" s="526"/>
    </row>
    <row r="189" spans="1:19" s="2" customFormat="1" ht="15.5" hidden="1" outlineLevel="1" thickTop="1" thickBot="1" x14ac:dyDescent="0.4">
      <c r="B189" s="721"/>
      <c r="C189" s="719" t="s">
        <v>0</v>
      </c>
      <c r="D189" s="719"/>
      <c r="E189" s="719"/>
      <c r="F189" s="719"/>
      <c r="G189" s="719"/>
      <c r="H189" s="719"/>
      <c r="I189" s="719"/>
      <c r="J189" s="719"/>
      <c r="K189" s="719"/>
      <c r="L189" s="720"/>
      <c r="M189" s="385"/>
      <c r="S189" s="783"/>
    </row>
    <row r="190" spans="1:19" ht="15" hidden="1" outlineLevel="1" thickTop="1" x14ac:dyDescent="0.35">
      <c r="A190" s="483"/>
      <c r="B190" s="762" t="s">
        <v>1993</v>
      </c>
      <c r="C190" s="757" t="s">
        <v>1035</v>
      </c>
      <c r="D190" s="664"/>
      <c r="E190" s="664"/>
      <c r="F190" s="664"/>
      <c r="G190" s="664"/>
      <c r="H190" s="664"/>
      <c r="I190" s="664"/>
      <c r="J190" s="664"/>
      <c r="K190" s="664"/>
      <c r="L190" s="666"/>
    </row>
    <row r="191" spans="1:19" hidden="1" outlineLevel="1" x14ac:dyDescent="0.35">
      <c r="A191" s="483"/>
      <c r="B191" s="762" t="s">
        <v>1993</v>
      </c>
      <c r="C191" s="664" t="s">
        <v>1040</v>
      </c>
      <c r="D191" s="664"/>
      <c r="E191" s="664"/>
      <c r="F191" s="664"/>
      <c r="G191" s="664"/>
      <c r="H191" s="664"/>
      <c r="I191" s="664"/>
      <c r="J191" s="664"/>
      <c r="K191" s="664"/>
      <c r="L191" s="666"/>
    </row>
    <row r="192" spans="1:19" hidden="1" outlineLevel="1" x14ac:dyDescent="0.35">
      <c r="A192" s="483"/>
      <c r="B192" s="762" t="s">
        <v>1993</v>
      </c>
      <c r="C192" s="664" t="s">
        <v>1039</v>
      </c>
      <c r="D192" s="664"/>
      <c r="E192" s="664"/>
      <c r="F192" s="664"/>
      <c r="G192" s="664"/>
      <c r="H192" s="664"/>
      <c r="I192" s="664"/>
      <c r="J192" s="664"/>
      <c r="K192" s="664"/>
      <c r="L192" s="666"/>
    </row>
    <row r="193" spans="1:12" hidden="1" outlineLevel="1" x14ac:dyDescent="0.35">
      <c r="A193" s="483"/>
      <c r="B193" s="762" t="s">
        <v>1993</v>
      </c>
      <c r="C193" s="664" t="s">
        <v>12</v>
      </c>
      <c r="D193" s="664"/>
      <c r="E193" s="664"/>
      <c r="F193" s="664"/>
      <c r="G193" s="664"/>
      <c r="H193" s="664"/>
      <c r="I193" s="664"/>
      <c r="J193" s="664"/>
      <c r="K193" s="664"/>
      <c r="L193" s="666"/>
    </row>
    <row r="194" spans="1:12" hidden="1" outlineLevel="1" x14ac:dyDescent="0.35">
      <c r="A194" s="483"/>
      <c r="B194" s="762" t="s">
        <v>1993</v>
      </c>
      <c r="C194" s="664" t="s">
        <v>13</v>
      </c>
      <c r="D194" s="664"/>
      <c r="E194" s="664"/>
      <c r="F194" s="664"/>
      <c r="G194" s="664"/>
      <c r="H194" s="664"/>
      <c r="I194" s="664"/>
      <c r="J194" s="664"/>
      <c r="K194" s="664"/>
      <c r="L194" s="666"/>
    </row>
    <row r="195" spans="1:12" hidden="1" outlineLevel="1" x14ac:dyDescent="0.35">
      <c r="A195" s="483"/>
      <c r="B195" s="762" t="s">
        <v>1993</v>
      </c>
      <c r="C195" s="664" t="s">
        <v>26</v>
      </c>
      <c r="D195" s="664"/>
      <c r="E195" s="664"/>
      <c r="F195" s="664"/>
      <c r="G195" s="664"/>
      <c r="H195" s="664"/>
      <c r="I195" s="664"/>
      <c r="J195" s="664"/>
      <c r="K195" s="664"/>
      <c r="L195" s="666"/>
    </row>
    <row r="196" spans="1:12" hidden="1" outlineLevel="1" x14ac:dyDescent="0.35">
      <c r="A196" s="483"/>
      <c r="B196" s="762" t="s">
        <v>1993</v>
      </c>
      <c r="C196" s="664" t="s">
        <v>27</v>
      </c>
      <c r="D196" s="664"/>
      <c r="E196" s="664"/>
      <c r="F196" s="664"/>
      <c r="G196" s="664"/>
      <c r="H196" s="664"/>
      <c r="I196" s="664"/>
      <c r="J196" s="664"/>
      <c r="K196" s="664"/>
      <c r="L196" s="666"/>
    </row>
    <row r="197" spans="1:12" hidden="1" outlineLevel="1" x14ac:dyDescent="0.35">
      <c r="A197" s="483"/>
      <c r="B197" s="762" t="s">
        <v>1993</v>
      </c>
      <c r="C197" s="664" t="s">
        <v>28</v>
      </c>
      <c r="D197" s="664"/>
      <c r="E197" s="664"/>
      <c r="F197" s="664"/>
      <c r="G197" s="664"/>
      <c r="H197" s="664"/>
      <c r="I197" s="664"/>
      <c r="J197" s="664"/>
      <c r="K197" s="664"/>
      <c r="L197" s="666"/>
    </row>
    <row r="198" spans="1:12" hidden="1" outlineLevel="1" x14ac:dyDescent="0.35">
      <c r="A198" s="483"/>
      <c r="B198" s="762" t="s">
        <v>1993</v>
      </c>
      <c r="C198" s="664" t="s">
        <v>29</v>
      </c>
      <c r="D198" s="664"/>
      <c r="E198" s="664"/>
      <c r="F198" s="664"/>
      <c r="G198" s="664"/>
      <c r="H198" s="664"/>
      <c r="I198" s="664"/>
      <c r="J198" s="664"/>
      <c r="K198" s="664"/>
      <c r="L198" s="666"/>
    </row>
    <row r="199" spans="1:12" hidden="1" outlineLevel="1" x14ac:dyDescent="0.35">
      <c r="A199" s="483"/>
      <c r="B199" s="762" t="s">
        <v>1993</v>
      </c>
      <c r="C199" s="664" t="s">
        <v>30</v>
      </c>
      <c r="D199" s="664"/>
      <c r="E199" s="664"/>
      <c r="F199" s="664"/>
      <c r="G199" s="664"/>
      <c r="H199" s="664"/>
      <c r="I199" s="664"/>
      <c r="J199" s="664"/>
      <c r="K199" s="664"/>
      <c r="L199" s="666"/>
    </row>
    <row r="200" spans="1:12" hidden="1" outlineLevel="1" x14ac:dyDescent="0.35">
      <c r="A200" s="483"/>
      <c r="B200" s="762" t="s">
        <v>1993</v>
      </c>
      <c r="C200" s="664" t="s">
        <v>31</v>
      </c>
      <c r="D200" s="664"/>
      <c r="E200" s="664"/>
      <c r="F200" s="664"/>
      <c r="G200" s="664"/>
      <c r="H200" s="664"/>
      <c r="I200" s="664"/>
      <c r="J200" s="664"/>
      <c r="K200" s="664"/>
      <c r="L200" s="666"/>
    </row>
    <row r="201" spans="1:12" hidden="1" outlineLevel="1" x14ac:dyDescent="0.35">
      <c r="A201" s="483"/>
      <c r="B201" s="762" t="s">
        <v>1993</v>
      </c>
      <c r="C201" s="664" t="s">
        <v>1163</v>
      </c>
      <c r="D201" s="664"/>
      <c r="E201" s="664"/>
      <c r="F201" s="664"/>
      <c r="G201" s="664"/>
      <c r="H201" s="664"/>
      <c r="I201" s="664"/>
      <c r="J201" s="664"/>
      <c r="K201" s="664"/>
      <c r="L201" s="666"/>
    </row>
    <row r="202" spans="1:12" hidden="1" outlineLevel="1" x14ac:dyDescent="0.35">
      <c r="A202" s="483"/>
      <c r="B202" s="762" t="s">
        <v>1993</v>
      </c>
      <c r="C202" s="664" t="s">
        <v>1164</v>
      </c>
      <c r="D202" s="664"/>
      <c r="E202" s="664"/>
      <c r="F202" s="664"/>
      <c r="G202" s="664"/>
      <c r="H202" s="664"/>
      <c r="I202" s="664"/>
      <c r="J202" s="664"/>
      <c r="K202" s="664"/>
      <c r="L202" s="666"/>
    </row>
    <row r="203" spans="1:12" hidden="1" outlineLevel="1" x14ac:dyDescent="0.35">
      <c r="A203" s="483"/>
      <c r="B203" s="762" t="s">
        <v>1993</v>
      </c>
      <c r="C203" s="664" t="s">
        <v>32</v>
      </c>
      <c r="D203" s="664"/>
      <c r="E203" s="664"/>
      <c r="F203" s="664"/>
      <c r="G203" s="664"/>
      <c r="H203" s="664"/>
      <c r="I203" s="664"/>
      <c r="J203" s="664"/>
      <c r="K203" s="664"/>
      <c r="L203" s="666"/>
    </row>
    <row r="204" spans="1:12" hidden="1" outlineLevel="1" x14ac:dyDescent="0.35">
      <c r="A204" s="483"/>
      <c r="B204" s="762" t="s">
        <v>1993</v>
      </c>
      <c r="C204" s="664" t="s">
        <v>14</v>
      </c>
      <c r="D204" s="664"/>
      <c r="E204" s="664"/>
      <c r="F204" s="664"/>
      <c r="G204" s="664"/>
      <c r="H204" s="664"/>
      <c r="I204" s="664"/>
      <c r="J204" s="664"/>
      <c r="K204" s="664"/>
      <c r="L204" s="666"/>
    </row>
    <row r="205" spans="1:12" hidden="1" outlineLevel="1" x14ac:dyDescent="0.35">
      <c r="A205" s="483"/>
      <c r="B205" s="762" t="s">
        <v>1993</v>
      </c>
      <c r="C205" s="664" t="s">
        <v>33</v>
      </c>
      <c r="D205" s="664"/>
      <c r="E205" s="664"/>
      <c r="F205" s="664"/>
      <c r="G205" s="664"/>
      <c r="H205" s="664"/>
      <c r="I205" s="664"/>
      <c r="J205" s="664"/>
      <c r="K205" s="664"/>
      <c r="L205" s="666"/>
    </row>
    <row r="206" spans="1:12" hidden="1" outlineLevel="1" x14ac:dyDescent="0.35">
      <c r="A206" s="483"/>
      <c r="B206" s="762" t="s">
        <v>1993</v>
      </c>
      <c r="C206" s="664" t="s">
        <v>34</v>
      </c>
      <c r="D206" s="664"/>
      <c r="E206" s="664"/>
      <c r="F206" s="664"/>
      <c r="G206" s="664"/>
      <c r="H206" s="664"/>
      <c r="I206" s="664"/>
      <c r="J206" s="664"/>
      <c r="K206" s="664"/>
      <c r="L206" s="666"/>
    </row>
    <row r="207" spans="1:12" hidden="1" outlineLevel="1" x14ac:dyDescent="0.35">
      <c r="A207" s="483"/>
      <c r="B207" s="762" t="s">
        <v>1993</v>
      </c>
      <c r="C207" s="664" t="s">
        <v>35</v>
      </c>
      <c r="D207" s="664"/>
      <c r="E207" s="664"/>
      <c r="F207" s="664"/>
      <c r="G207" s="664"/>
      <c r="H207" s="664"/>
      <c r="I207" s="664"/>
      <c r="J207" s="664"/>
      <c r="K207" s="664"/>
      <c r="L207" s="666"/>
    </row>
    <row r="208" spans="1:12" hidden="1" outlineLevel="1" x14ac:dyDescent="0.35">
      <c r="A208" s="483"/>
      <c r="B208" s="762" t="s">
        <v>1993</v>
      </c>
      <c r="C208" s="664" t="s">
        <v>15</v>
      </c>
      <c r="D208" s="664"/>
      <c r="E208" s="664"/>
      <c r="F208" s="664"/>
      <c r="G208" s="664"/>
      <c r="H208" s="664"/>
      <c r="I208" s="664"/>
      <c r="J208" s="664"/>
      <c r="K208" s="664"/>
      <c r="L208" s="666"/>
    </row>
    <row r="209" spans="1:19" hidden="1" outlineLevel="1" x14ac:dyDescent="0.35">
      <c r="A209" s="483"/>
      <c r="B209" s="762" t="s">
        <v>1993</v>
      </c>
      <c r="C209" s="664" t="s">
        <v>2396</v>
      </c>
      <c r="D209" s="664"/>
      <c r="E209" s="664"/>
      <c r="F209" s="664"/>
      <c r="G209" s="664"/>
      <c r="H209" s="664"/>
      <c r="I209" s="664"/>
      <c r="J209" s="664"/>
      <c r="K209" s="664"/>
      <c r="L209" s="666"/>
    </row>
    <row r="210" spans="1:19" hidden="1" outlineLevel="1" x14ac:dyDescent="0.35">
      <c r="A210" s="483"/>
      <c r="B210" s="762" t="s">
        <v>1993</v>
      </c>
      <c r="C210" s="664" t="s">
        <v>37</v>
      </c>
      <c r="D210" s="664"/>
      <c r="E210" s="664"/>
      <c r="F210" s="664"/>
      <c r="G210" s="664"/>
      <c r="H210" s="664"/>
      <c r="I210" s="664"/>
      <c r="J210" s="664"/>
      <c r="K210" s="664"/>
      <c r="L210" s="666"/>
    </row>
    <row r="211" spans="1:19" hidden="1" outlineLevel="1" x14ac:dyDescent="0.35">
      <c r="A211" s="483"/>
      <c r="B211" s="762" t="s">
        <v>1993</v>
      </c>
      <c r="C211" s="664" t="s">
        <v>38</v>
      </c>
      <c r="D211" s="664"/>
      <c r="E211" s="664"/>
      <c r="F211" s="664"/>
      <c r="G211" s="664"/>
      <c r="H211" s="664"/>
      <c r="I211" s="664"/>
      <c r="J211" s="664"/>
      <c r="K211" s="664"/>
      <c r="L211" s="666"/>
    </row>
    <row r="212" spans="1:19" hidden="1" outlineLevel="1" x14ac:dyDescent="0.35">
      <c r="A212" s="483"/>
      <c r="B212" s="762" t="s">
        <v>1993</v>
      </c>
      <c r="C212" s="664" t="s">
        <v>16</v>
      </c>
      <c r="D212" s="664"/>
      <c r="E212" s="664"/>
      <c r="F212" s="664"/>
      <c r="G212" s="664"/>
      <c r="H212" s="664"/>
      <c r="I212" s="664"/>
      <c r="J212" s="664"/>
      <c r="K212" s="664"/>
      <c r="L212" s="666"/>
    </row>
    <row r="213" spans="1:19" hidden="1" outlineLevel="1" x14ac:dyDescent="0.35">
      <c r="A213" s="483"/>
      <c r="B213" s="762" t="s">
        <v>1993</v>
      </c>
      <c r="C213" s="664" t="s">
        <v>17</v>
      </c>
      <c r="D213" s="664"/>
      <c r="E213" s="664"/>
      <c r="F213" s="664"/>
      <c r="G213" s="664"/>
      <c r="H213" s="664"/>
      <c r="I213" s="664"/>
      <c r="J213" s="664"/>
      <c r="K213" s="664"/>
      <c r="L213" s="666"/>
    </row>
    <row r="214" spans="1:19" hidden="1" outlineLevel="1" x14ac:dyDescent="0.35">
      <c r="A214" s="483"/>
      <c r="B214" s="762" t="s">
        <v>1993</v>
      </c>
      <c r="C214" s="664" t="s">
        <v>39</v>
      </c>
      <c r="D214" s="664"/>
      <c r="E214" s="664"/>
      <c r="F214" s="664"/>
      <c r="G214" s="664"/>
      <c r="H214" s="664"/>
      <c r="I214" s="664"/>
      <c r="J214" s="664"/>
      <c r="K214" s="664"/>
      <c r="L214" s="666"/>
    </row>
    <row r="215" spans="1:19" hidden="1" outlineLevel="1" x14ac:dyDescent="0.35">
      <c r="A215" s="483"/>
      <c r="B215" s="762" t="s">
        <v>1993</v>
      </c>
      <c r="C215" s="664" t="s">
        <v>40</v>
      </c>
      <c r="D215" s="664"/>
      <c r="E215" s="664"/>
      <c r="F215" s="664"/>
      <c r="G215" s="664"/>
      <c r="H215" s="664"/>
      <c r="I215" s="664"/>
      <c r="J215" s="664"/>
      <c r="K215" s="664"/>
      <c r="L215" s="666"/>
    </row>
    <row r="216" spans="1:19" hidden="1" outlineLevel="1" x14ac:dyDescent="0.35">
      <c r="A216" s="483"/>
      <c r="B216" s="762" t="s">
        <v>1993</v>
      </c>
      <c r="C216" s="664" t="s">
        <v>1074</v>
      </c>
      <c r="D216" s="664"/>
      <c r="E216" s="664"/>
      <c r="F216" s="664"/>
      <c r="G216" s="664"/>
      <c r="H216" s="664"/>
      <c r="I216" s="664"/>
      <c r="J216" s="664"/>
      <c r="K216" s="664"/>
      <c r="L216" s="666"/>
    </row>
    <row r="217" spans="1:19" hidden="1" outlineLevel="1" x14ac:dyDescent="0.35">
      <c r="A217" s="483"/>
      <c r="B217" s="762" t="s">
        <v>1993</v>
      </c>
      <c r="C217" s="664" t="s">
        <v>1472</v>
      </c>
      <c r="D217" s="664"/>
      <c r="E217" s="664"/>
      <c r="F217" s="664"/>
      <c r="G217" s="664"/>
      <c r="H217" s="664"/>
      <c r="I217" s="664"/>
      <c r="J217" s="664"/>
      <c r="K217" s="664"/>
      <c r="L217" s="666"/>
    </row>
    <row r="218" spans="1:19" ht="15" hidden="1" outlineLevel="1" thickBot="1" x14ac:dyDescent="0.4">
      <c r="A218" s="483"/>
      <c r="B218" s="761"/>
      <c r="C218" s="670"/>
      <c r="D218" s="670"/>
      <c r="E218" s="670"/>
      <c r="F218" s="670"/>
      <c r="G218" s="670"/>
      <c r="H218" s="670"/>
      <c r="I218" s="670"/>
      <c r="J218" s="670"/>
      <c r="K218" s="670"/>
      <c r="L218" s="711"/>
    </row>
    <row r="219" spans="1:19" ht="15.5" collapsed="1" thickTop="1" thickBot="1" x14ac:dyDescent="0.4">
      <c r="B219" s="2"/>
    </row>
    <row r="220" spans="1:19" ht="23" thickBot="1" x14ac:dyDescent="0.4">
      <c r="B220" s="524"/>
      <c r="C220" s="525" t="s">
        <v>41</v>
      </c>
      <c r="D220" s="525"/>
      <c r="E220" s="525"/>
      <c r="F220" s="525"/>
      <c r="G220" s="525"/>
      <c r="H220" s="525"/>
      <c r="I220" s="525"/>
      <c r="J220" s="525"/>
      <c r="K220" s="527"/>
      <c r="L220" s="526"/>
    </row>
    <row r="221" spans="1:19" s="2" customFormat="1" ht="15.5" hidden="1" outlineLevel="1" thickTop="1" thickBot="1" x14ac:dyDescent="0.4">
      <c r="B221" s="721"/>
      <c r="C221" s="719" t="s">
        <v>0</v>
      </c>
      <c r="D221" s="719"/>
      <c r="E221" s="719"/>
      <c r="F221" s="719"/>
      <c r="G221" s="719"/>
      <c r="H221" s="719"/>
      <c r="I221" s="719"/>
      <c r="J221" s="719"/>
      <c r="K221" s="719"/>
      <c r="L221" s="720"/>
      <c r="M221" s="385"/>
      <c r="S221" s="783"/>
    </row>
    <row r="222" spans="1:19" ht="15" hidden="1" outlineLevel="1" thickTop="1" x14ac:dyDescent="0.35">
      <c r="A222" s="483"/>
      <c r="B222" s="762" t="s">
        <v>1994</v>
      </c>
      <c r="C222" s="757" t="s">
        <v>42</v>
      </c>
      <c r="D222" s="664"/>
      <c r="E222" s="664"/>
      <c r="F222" s="664"/>
      <c r="G222" s="664"/>
      <c r="H222" s="664"/>
      <c r="I222" s="664"/>
      <c r="J222" s="664"/>
      <c r="K222" s="664"/>
      <c r="L222" s="666"/>
    </row>
    <row r="223" spans="1:19" hidden="1" outlineLevel="1" x14ac:dyDescent="0.35">
      <c r="A223" s="483"/>
      <c r="B223" s="762" t="s">
        <v>1994</v>
      </c>
      <c r="C223" s="664" t="s">
        <v>43</v>
      </c>
      <c r="D223" s="664"/>
      <c r="E223" s="664"/>
      <c r="F223" s="664"/>
      <c r="G223" s="664"/>
      <c r="H223" s="664"/>
      <c r="I223" s="664"/>
      <c r="J223" s="664"/>
      <c r="K223" s="664"/>
      <c r="L223" s="666"/>
    </row>
    <row r="224" spans="1:19" hidden="1" outlineLevel="1" x14ac:dyDescent="0.35">
      <c r="A224" s="483"/>
      <c r="B224" s="762" t="s">
        <v>1994</v>
      </c>
      <c r="C224" s="664" t="s">
        <v>44</v>
      </c>
      <c r="D224" s="664"/>
      <c r="E224" s="664"/>
      <c r="F224" s="664"/>
      <c r="G224" s="664"/>
      <c r="H224" s="664"/>
      <c r="I224" s="664"/>
      <c r="J224" s="664"/>
      <c r="K224" s="664"/>
      <c r="L224" s="666"/>
    </row>
    <row r="225" spans="1:12" hidden="1" outlineLevel="1" x14ac:dyDescent="0.35">
      <c r="A225" s="483"/>
      <c r="B225" s="762" t="s">
        <v>1994</v>
      </c>
      <c r="C225" s="664" t="s">
        <v>45</v>
      </c>
      <c r="D225" s="664"/>
      <c r="E225" s="664"/>
      <c r="F225" s="664"/>
      <c r="G225" s="664"/>
      <c r="H225" s="664"/>
      <c r="I225" s="664"/>
      <c r="J225" s="664"/>
      <c r="K225" s="664"/>
      <c r="L225" s="666"/>
    </row>
    <row r="226" spans="1:12" hidden="1" outlineLevel="1" x14ac:dyDescent="0.35">
      <c r="A226" s="483"/>
      <c r="B226" s="762" t="s">
        <v>1994</v>
      </c>
      <c r="C226" s="664" t="s">
        <v>46</v>
      </c>
      <c r="D226" s="664"/>
      <c r="E226" s="664"/>
      <c r="F226" s="664"/>
      <c r="G226" s="664"/>
      <c r="H226" s="664"/>
      <c r="I226" s="664"/>
      <c r="J226" s="664"/>
      <c r="K226" s="664"/>
      <c r="L226" s="666"/>
    </row>
    <row r="227" spans="1:12" hidden="1" outlineLevel="1" x14ac:dyDescent="0.35">
      <c r="A227" s="483"/>
      <c r="B227" s="762" t="s">
        <v>1994</v>
      </c>
      <c r="C227" s="664" t="s">
        <v>47</v>
      </c>
      <c r="D227" s="664"/>
      <c r="E227" s="664"/>
      <c r="F227" s="664"/>
      <c r="G227" s="664"/>
      <c r="H227" s="664"/>
      <c r="I227" s="664"/>
      <c r="J227" s="664"/>
      <c r="K227" s="664"/>
      <c r="L227" s="666"/>
    </row>
    <row r="228" spans="1:12" hidden="1" outlineLevel="1" x14ac:dyDescent="0.35">
      <c r="A228" s="483"/>
      <c r="B228" s="762" t="s">
        <v>1994</v>
      </c>
      <c r="C228" s="664" t="s">
        <v>48</v>
      </c>
      <c r="D228" s="664"/>
      <c r="E228" s="664"/>
      <c r="F228" s="664"/>
      <c r="G228" s="664"/>
      <c r="H228" s="664"/>
      <c r="I228" s="664"/>
      <c r="J228" s="664"/>
      <c r="K228" s="664"/>
      <c r="L228" s="666"/>
    </row>
    <row r="229" spans="1:12" hidden="1" outlineLevel="1" x14ac:dyDescent="0.35">
      <c r="A229" s="483"/>
      <c r="B229" s="762" t="s">
        <v>1994</v>
      </c>
      <c r="C229" s="664" t="s">
        <v>49</v>
      </c>
      <c r="D229" s="664"/>
      <c r="E229" s="664"/>
      <c r="F229" s="664"/>
      <c r="G229" s="664"/>
      <c r="H229" s="664"/>
      <c r="I229" s="664"/>
      <c r="J229" s="664"/>
      <c r="K229" s="664"/>
      <c r="L229" s="666"/>
    </row>
    <row r="230" spans="1:12" hidden="1" outlineLevel="1" x14ac:dyDescent="0.35">
      <c r="A230" s="483"/>
      <c r="B230" s="762" t="s">
        <v>1994</v>
      </c>
      <c r="C230" s="664" t="s">
        <v>50</v>
      </c>
      <c r="D230" s="664"/>
      <c r="E230" s="664"/>
      <c r="F230" s="664"/>
      <c r="G230" s="664"/>
      <c r="H230" s="664"/>
      <c r="I230" s="664"/>
      <c r="J230" s="664"/>
      <c r="K230" s="664"/>
      <c r="L230" s="666"/>
    </row>
    <row r="231" spans="1:12" hidden="1" outlineLevel="1" x14ac:dyDescent="0.35">
      <c r="A231" s="483"/>
      <c r="B231" s="762" t="s">
        <v>1994</v>
      </c>
      <c r="C231" s="664" t="s">
        <v>51</v>
      </c>
      <c r="D231" s="664"/>
      <c r="E231" s="664"/>
      <c r="F231" s="664"/>
      <c r="G231" s="664"/>
      <c r="H231" s="664"/>
      <c r="I231" s="664"/>
      <c r="J231" s="664"/>
      <c r="K231" s="664"/>
      <c r="L231" s="666"/>
    </row>
    <row r="232" spans="1:12" hidden="1" outlineLevel="1" x14ac:dyDescent="0.35">
      <c r="A232" s="483"/>
      <c r="B232" s="762" t="s">
        <v>1994</v>
      </c>
      <c r="C232" s="664" t="s">
        <v>52</v>
      </c>
      <c r="D232" s="664"/>
      <c r="E232" s="664"/>
      <c r="F232" s="664"/>
      <c r="G232" s="664"/>
      <c r="H232" s="664"/>
      <c r="I232" s="664"/>
      <c r="J232" s="664"/>
      <c r="K232" s="664"/>
      <c r="L232" s="666"/>
    </row>
    <row r="233" spans="1:12" hidden="1" outlineLevel="1" x14ac:dyDescent="0.35">
      <c r="A233" s="483"/>
      <c r="B233" s="762" t="s">
        <v>1994</v>
      </c>
      <c r="C233" s="664" t="s">
        <v>53</v>
      </c>
      <c r="D233" s="664"/>
      <c r="E233" s="664"/>
      <c r="F233" s="664"/>
      <c r="G233" s="664"/>
      <c r="H233" s="664"/>
      <c r="I233" s="664"/>
      <c r="J233" s="664"/>
      <c r="K233" s="664"/>
      <c r="L233" s="666"/>
    </row>
    <row r="234" spans="1:12" hidden="1" outlineLevel="1" x14ac:dyDescent="0.35">
      <c r="A234" s="483"/>
      <c r="B234" s="762" t="s">
        <v>1994</v>
      </c>
      <c r="C234" s="664" t="s">
        <v>54</v>
      </c>
      <c r="D234" s="664"/>
      <c r="E234" s="664"/>
      <c r="F234" s="664"/>
      <c r="G234" s="664"/>
      <c r="H234" s="664"/>
      <c r="I234" s="664"/>
      <c r="J234" s="664"/>
      <c r="K234" s="664"/>
      <c r="L234" s="666"/>
    </row>
    <row r="235" spans="1:12" hidden="1" outlineLevel="1" x14ac:dyDescent="0.35">
      <c r="A235" s="483"/>
      <c r="B235" s="762" t="s">
        <v>1994</v>
      </c>
      <c r="C235" s="664" t="s">
        <v>55</v>
      </c>
      <c r="D235" s="664"/>
      <c r="E235" s="664"/>
      <c r="F235" s="664"/>
      <c r="G235" s="664"/>
      <c r="H235" s="664"/>
      <c r="I235" s="664"/>
      <c r="J235" s="664"/>
      <c r="K235" s="664"/>
      <c r="L235" s="666"/>
    </row>
    <row r="236" spans="1:12" hidden="1" outlineLevel="1" x14ac:dyDescent="0.35">
      <c r="A236" s="483"/>
      <c r="B236" s="762" t="s">
        <v>1994</v>
      </c>
      <c r="C236" s="664" t="s">
        <v>1090</v>
      </c>
      <c r="D236" s="664"/>
      <c r="E236" s="664"/>
      <c r="F236" s="664"/>
      <c r="G236" s="664"/>
      <c r="H236" s="664"/>
      <c r="I236" s="664"/>
      <c r="J236" s="664"/>
      <c r="K236" s="664"/>
      <c r="L236" s="666"/>
    </row>
    <row r="237" spans="1:12" hidden="1" outlineLevel="1" x14ac:dyDescent="0.35">
      <c r="A237" s="483"/>
      <c r="B237" s="762" t="s">
        <v>1994</v>
      </c>
      <c r="C237" s="664" t="s">
        <v>1162</v>
      </c>
      <c r="D237" s="664"/>
      <c r="E237" s="664"/>
      <c r="F237" s="664"/>
      <c r="G237" s="664"/>
      <c r="H237" s="664"/>
      <c r="I237" s="664"/>
      <c r="J237" s="664"/>
      <c r="K237" s="664"/>
      <c r="L237" s="666"/>
    </row>
    <row r="238" spans="1:12" hidden="1" outlineLevel="1" x14ac:dyDescent="0.35">
      <c r="A238" s="483"/>
      <c r="B238" s="762" t="s">
        <v>1994</v>
      </c>
      <c r="C238" s="664" t="s">
        <v>1079</v>
      </c>
      <c r="D238" s="664"/>
      <c r="E238" s="664"/>
      <c r="F238" s="664"/>
      <c r="G238" s="664"/>
      <c r="H238" s="664"/>
      <c r="I238" s="664"/>
      <c r="J238" s="664"/>
      <c r="K238" s="664"/>
      <c r="L238" s="666"/>
    </row>
    <row r="239" spans="1:12" ht="15" hidden="1" outlineLevel="1" thickBot="1" x14ac:dyDescent="0.4">
      <c r="A239" s="483"/>
      <c r="B239" s="761"/>
      <c r="C239" s="670"/>
      <c r="D239" s="670"/>
      <c r="E239" s="670"/>
      <c r="F239" s="670"/>
      <c r="G239" s="670"/>
      <c r="H239" s="670"/>
      <c r="I239" s="670"/>
      <c r="J239" s="670"/>
      <c r="K239" s="670"/>
      <c r="L239" s="711"/>
    </row>
    <row r="240" spans="1:12" ht="15.5" collapsed="1" thickTop="1" thickBot="1" x14ac:dyDescent="0.4">
      <c r="B240" s="2"/>
    </row>
    <row r="241" spans="1:19" ht="23" thickBot="1" x14ac:dyDescent="0.4">
      <c r="B241" s="524"/>
      <c r="C241" s="525" t="s">
        <v>56</v>
      </c>
      <c r="D241" s="525"/>
      <c r="E241" s="525"/>
      <c r="F241" s="525"/>
      <c r="G241" s="525"/>
      <c r="H241" s="525"/>
      <c r="I241" s="525"/>
      <c r="J241" s="525"/>
      <c r="K241" s="527"/>
      <c r="L241" s="526"/>
    </row>
    <row r="242" spans="1:19" s="2" customFormat="1" ht="15.5" hidden="1" outlineLevel="1" thickTop="1" thickBot="1" x14ac:dyDescent="0.4">
      <c r="B242" s="721"/>
      <c r="C242" s="719" t="s">
        <v>0</v>
      </c>
      <c r="D242" s="719"/>
      <c r="E242" s="719"/>
      <c r="F242" s="719" t="s">
        <v>1895</v>
      </c>
      <c r="G242" s="719" t="s">
        <v>1729</v>
      </c>
      <c r="H242" s="719"/>
      <c r="I242" s="719"/>
      <c r="J242" s="719"/>
      <c r="K242" s="719"/>
      <c r="L242" s="720"/>
      <c r="M242" s="385"/>
      <c r="S242" s="783"/>
    </row>
    <row r="243" spans="1:19" ht="15" hidden="1" outlineLevel="1" thickTop="1" x14ac:dyDescent="0.35">
      <c r="A243" s="483"/>
      <c r="B243" s="762" t="s">
        <v>1995</v>
      </c>
      <c r="C243" s="757" t="s">
        <v>57</v>
      </c>
      <c r="D243" s="664"/>
      <c r="E243" s="664"/>
      <c r="F243" s="665" t="s">
        <v>1582</v>
      </c>
      <c r="G243" s="664"/>
      <c r="H243" s="664"/>
      <c r="I243" s="664"/>
      <c r="J243" s="727"/>
      <c r="K243" s="664"/>
      <c r="L243" s="666"/>
    </row>
    <row r="244" spans="1:19" hidden="1" outlineLevel="1" x14ac:dyDescent="0.35">
      <c r="A244" s="483"/>
      <c r="B244" s="762" t="s">
        <v>1995</v>
      </c>
      <c r="C244" s="664" t="s">
        <v>58</v>
      </c>
      <c r="D244" s="664"/>
      <c r="E244" s="664"/>
      <c r="F244" s="665" t="s">
        <v>748</v>
      </c>
      <c r="G244" s="664"/>
      <c r="H244" s="664"/>
      <c r="I244" s="664"/>
      <c r="J244" s="727"/>
      <c r="K244" s="664"/>
      <c r="L244" s="666"/>
    </row>
    <row r="245" spans="1:19" hidden="1" outlineLevel="1" x14ac:dyDescent="0.35">
      <c r="A245" s="483"/>
      <c r="B245" s="762" t="s">
        <v>1995</v>
      </c>
      <c r="C245" s="664" t="s">
        <v>59</v>
      </c>
      <c r="D245" s="664"/>
      <c r="E245" s="664"/>
      <c r="F245" s="665" t="s">
        <v>748</v>
      </c>
      <c r="G245" s="664"/>
      <c r="H245" s="664"/>
      <c r="I245" s="664"/>
      <c r="J245" s="727"/>
      <c r="K245" s="664"/>
      <c r="L245" s="666"/>
    </row>
    <row r="246" spans="1:19" hidden="1" outlineLevel="1" x14ac:dyDescent="0.35">
      <c r="A246" s="483"/>
      <c r="B246" s="762" t="s">
        <v>1995</v>
      </c>
      <c r="C246" s="664" t="s">
        <v>60</v>
      </c>
      <c r="D246" s="664"/>
      <c r="E246" s="664"/>
      <c r="F246" s="665" t="s">
        <v>748</v>
      </c>
      <c r="G246" s="664"/>
      <c r="H246" s="664"/>
      <c r="I246" s="664"/>
      <c r="J246" s="664"/>
      <c r="K246" s="664"/>
      <c r="L246" s="666"/>
    </row>
    <row r="247" spans="1:19" hidden="1" outlineLevel="1" x14ac:dyDescent="0.35">
      <c r="A247" s="483"/>
      <c r="B247" s="762" t="s">
        <v>1995</v>
      </c>
      <c r="C247" s="664" t="s">
        <v>61</v>
      </c>
      <c r="D247" s="664"/>
      <c r="E247" s="664"/>
      <c r="F247" s="665" t="s">
        <v>748</v>
      </c>
      <c r="G247" s="664"/>
      <c r="H247" s="664"/>
      <c r="I247" s="664"/>
      <c r="J247" s="664"/>
      <c r="K247" s="664"/>
      <c r="L247" s="666"/>
    </row>
    <row r="248" spans="1:19" hidden="1" outlineLevel="1" x14ac:dyDescent="0.35">
      <c r="A248" s="483"/>
      <c r="B248" s="762" t="s">
        <v>1995</v>
      </c>
      <c r="C248" s="664" t="s">
        <v>62</v>
      </c>
      <c r="D248" s="664"/>
      <c r="E248" s="664"/>
      <c r="F248" s="665" t="s">
        <v>748</v>
      </c>
      <c r="G248" s="664"/>
      <c r="H248" s="664"/>
      <c r="I248" s="664"/>
      <c r="J248" s="664"/>
      <c r="K248" s="664"/>
      <c r="L248" s="666"/>
    </row>
    <row r="249" spans="1:19" hidden="1" outlineLevel="1" x14ac:dyDescent="0.35">
      <c r="A249" s="483"/>
      <c r="B249" s="762" t="s">
        <v>1995</v>
      </c>
      <c r="C249" s="664" t="s">
        <v>63</v>
      </c>
      <c r="D249" s="664"/>
      <c r="E249" s="664"/>
      <c r="F249" s="665" t="s">
        <v>748</v>
      </c>
      <c r="G249" s="664"/>
      <c r="H249" s="664"/>
      <c r="I249" s="664"/>
      <c r="J249" s="664"/>
      <c r="K249" s="664"/>
      <c r="L249" s="666"/>
    </row>
    <row r="250" spans="1:19" hidden="1" outlineLevel="1" x14ac:dyDescent="0.35">
      <c r="A250" s="483"/>
      <c r="B250" s="762" t="s">
        <v>1995</v>
      </c>
      <c r="C250" s="664" t="s">
        <v>64</v>
      </c>
      <c r="D250" s="664"/>
      <c r="E250" s="664"/>
      <c r="F250" s="665" t="s">
        <v>748</v>
      </c>
      <c r="G250" s="664"/>
      <c r="H250" s="664"/>
      <c r="I250" s="664"/>
      <c r="J250" s="664"/>
      <c r="K250" s="664"/>
      <c r="L250" s="666"/>
    </row>
    <row r="251" spans="1:19" hidden="1" outlineLevel="1" x14ac:dyDescent="0.35">
      <c r="A251" s="483"/>
      <c r="B251" s="762" t="s">
        <v>1995</v>
      </c>
      <c r="C251" s="664" t="s">
        <v>65</v>
      </c>
      <c r="D251" s="664"/>
      <c r="E251" s="664"/>
      <c r="F251" s="665" t="s">
        <v>748</v>
      </c>
      <c r="G251" s="664"/>
      <c r="H251" s="664"/>
      <c r="I251" s="664"/>
      <c r="J251" s="664"/>
      <c r="K251" s="664"/>
      <c r="L251" s="666"/>
    </row>
    <row r="252" spans="1:19" hidden="1" outlineLevel="1" x14ac:dyDescent="0.35">
      <c r="A252" s="483"/>
      <c r="B252" s="762" t="s">
        <v>1995</v>
      </c>
      <c r="C252" s="664" t="s">
        <v>66</v>
      </c>
      <c r="D252" s="664"/>
      <c r="E252" s="664"/>
      <c r="F252" s="665" t="s">
        <v>748</v>
      </c>
      <c r="G252" s="664"/>
      <c r="H252" s="664"/>
      <c r="I252" s="664"/>
      <c r="J252" s="664"/>
      <c r="K252" s="664"/>
      <c r="L252" s="666"/>
    </row>
    <row r="253" spans="1:19" hidden="1" outlineLevel="1" x14ac:dyDescent="0.35">
      <c r="A253" s="483"/>
      <c r="B253" s="762" t="s">
        <v>1995</v>
      </c>
      <c r="C253" s="664" t="s">
        <v>67</v>
      </c>
      <c r="D253" s="664"/>
      <c r="E253" s="664"/>
      <c r="F253" s="665" t="s">
        <v>748</v>
      </c>
      <c r="G253" s="664"/>
      <c r="H253" s="664"/>
      <c r="I253" s="664"/>
      <c r="J253" s="664"/>
      <c r="K253" s="664"/>
      <c r="L253" s="666"/>
    </row>
    <row r="254" spans="1:19" hidden="1" outlineLevel="1" x14ac:dyDescent="0.35">
      <c r="A254" s="483"/>
      <c r="B254" s="762" t="s">
        <v>1995</v>
      </c>
      <c r="C254" s="664" t="s">
        <v>68</v>
      </c>
      <c r="D254" s="664"/>
      <c r="E254" s="664"/>
      <c r="F254" s="665" t="s">
        <v>748</v>
      </c>
      <c r="G254" s="664"/>
      <c r="H254" s="664"/>
      <c r="I254" s="664"/>
      <c r="J254" s="664"/>
      <c r="K254" s="664"/>
      <c r="L254" s="666"/>
    </row>
    <row r="255" spans="1:19" hidden="1" outlineLevel="1" x14ac:dyDescent="0.35">
      <c r="A255" s="483"/>
      <c r="B255" s="762" t="s">
        <v>1995</v>
      </c>
      <c r="C255" s="664" t="s">
        <v>69</v>
      </c>
      <c r="D255" s="664"/>
      <c r="E255" s="664"/>
      <c r="F255" s="665" t="s">
        <v>748</v>
      </c>
      <c r="G255" s="664"/>
      <c r="H255" s="664"/>
      <c r="I255" s="664"/>
      <c r="J255" s="664"/>
      <c r="K255" s="664"/>
      <c r="L255" s="666"/>
    </row>
    <row r="256" spans="1:19" hidden="1" outlineLevel="1" x14ac:dyDescent="0.35">
      <c r="A256" s="483"/>
      <c r="B256" s="762" t="s">
        <v>1995</v>
      </c>
      <c r="C256" s="664" t="s">
        <v>70</v>
      </c>
      <c r="D256" s="664"/>
      <c r="E256" s="664"/>
      <c r="F256" s="665" t="s">
        <v>748</v>
      </c>
      <c r="G256" s="664"/>
      <c r="H256" s="664"/>
      <c r="I256" s="664"/>
      <c r="J256" s="664"/>
      <c r="K256" s="664"/>
      <c r="L256" s="666"/>
    </row>
    <row r="257" spans="1:19" hidden="1" outlineLevel="1" x14ac:dyDescent="0.35">
      <c r="A257" s="483"/>
      <c r="B257" s="762" t="s">
        <v>1995</v>
      </c>
      <c r="C257" s="664" t="s">
        <v>71</v>
      </c>
      <c r="D257" s="664"/>
      <c r="E257" s="664"/>
      <c r="F257" s="665" t="s">
        <v>1582</v>
      </c>
      <c r="G257" s="664"/>
      <c r="H257" s="664"/>
      <c r="I257" s="664"/>
      <c r="J257" s="664"/>
      <c r="K257" s="664"/>
      <c r="L257" s="666"/>
    </row>
    <row r="258" spans="1:19" hidden="1" outlineLevel="1" x14ac:dyDescent="0.35">
      <c r="A258" s="483"/>
      <c r="B258" s="762" t="s">
        <v>1995</v>
      </c>
      <c r="C258" s="664" t="s">
        <v>72</v>
      </c>
      <c r="D258" s="664"/>
      <c r="E258" s="664"/>
      <c r="F258" s="665" t="s">
        <v>1582</v>
      </c>
      <c r="G258" s="664"/>
      <c r="H258" s="664"/>
      <c r="I258" s="664"/>
      <c r="J258" s="664"/>
      <c r="K258" s="664"/>
      <c r="L258" s="666"/>
    </row>
    <row r="259" spans="1:19" hidden="1" outlineLevel="1" x14ac:dyDescent="0.35">
      <c r="A259" s="483"/>
      <c r="B259" s="762" t="s">
        <v>1995</v>
      </c>
      <c r="C259" s="664" t="s">
        <v>73</v>
      </c>
      <c r="D259" s="664"/>
      <c r="E259" s="664"/>
      <c r="F259" s="665" t="s">
        <v>1582</v>
      </c>
      <c r="G259" s="664"/>
      <c r="H259" s="664"/>
      <c r="I259" s="664"/>
      <c r="J259" s="664"/>
      <c r="K259" s="664"/>
      <c r="L259" s="666"/>
    </row>
    <row r="260" spans="1:19" hidden="1" outlineLevel="1" x14ac:dyDescent="0.35">
      <c r="A260" s="483"/>
      <c r="B260" s="762" t="s">
        <v>1995</v>
      </c>
      <c r="C260" s="664" t="s">
        <v>74</v>
      </c>
      <c r="D260" s="664"/>
      <c r="E260" s="664"/>
      <c r="F260" s="665" t="s">
        <v>1582</v>
      </c>
      <c r="G260" s="664"/>
      <c r="H260" s="664"/>
      <c r="I260" s="664"/>
      <c r="J260" s="664"/>
      <c r="K260" s="664"/>
      <c r="L260" s="666"/>
    </row>
    <row r="261" spans="1:19" hidden="1" outlineLevel="1" x14ac:dyDescent="0.35">
      <c r="A261" s="483"/>
      <c r="B261" s="762" t="s">
        <v>1995</v>
      </c>
      <c r="C261" s="664" t="s">
        <v>75</v>
      </c>
      <c r="D261" s="664"/>
      <c r="E261" s="664"/>
      <c r="F261" s="665" t="s">
        <v>1582</v>
      </c>
      <c r="G261" s="664"/>
      <c r="H261" s="664"/>
      <c r="I261" s="664"/>
      <c r="J261" s="664"/>
      <c r="K261" s="664"/>
      <c r="L261" s="666"/>
    </row>
    <row r="262" spans="1:19" hidden="1" outlineLevel="1" x14ac:dyDescent="0.35">
      <c r="A262" s="483"/>
      <c r="B262" s="762" t="s">
        <v>1995</v>
      </c>
      <c r="C262" s="664" t="s">
        <v>76</v>
      </c>
      <c r="D262" s="664"/>
      <c r="E262" s="664"/>
      <c r="F262" s="665" t="s">
        <v>1582</v>
      </c>
      <c r="G262" s="664"/>
      <c r="H262" s="664"/>
      <c r="I262" s="664"/>
      <c r="J262" s="664"/>
      <c r="K262" s="664"/>
      <c r="L262" s="666"/>
    </row>
    <row r="263" spans="1:19" hidden="1" outlineLevel="1" x14ac:dyDescent="0.35">
      <c r="A263" s="483"/>
      <c r="B263" s="762" t="s">
        <v>1995</v>
      </c>
      <c r="C263" s="664" t="s">
        <v>77</v>
      </c>
      <c r="D263" s="664"/>
      <c r="E263" s="664"/>
      <c r="F263" s="665" t="s">
        <v>1582</v>
      </c>
      <c r="G263" s="664"/>
      <c r="H263" s="664"/>
      <c r="I263" s="664"/>
      <c r="J263" s="664"/>
      <c r="K263" s="664"/>
      <c r="L263" s="666"/>
    </row>
    <row r="264" spans="1:19" ht="15" hidden="1" outlineLevel="1" thickBot="1" x14ac:dyDescent="0.4">
      <c r="A264" s="483"/>
      <c r="B264" s="761"/>
      <c r="C264" s="670"/>
      <c r="D264" s="670"/>
      <c r="E264" s="670"/>
      <c r="F264" s="671"/>
      <c r="G264" s="670"/>
      <c r="H264" s="670"/>
      <c r="I264" s="670"/>
      <c r="J264" s="670"/>
      <c r="K264" s="670"/>
      <c r="L264" s="711"/>
    </row>
    <row r="265" spans="1:19" ht="15.5" collapsed="1" thickTop="1" thickBot="1" x14ac:dyDescent="0.4">
      <c r="B265" s="2"/>
    </row>
    <row r="266" spans="1:19" ht="23" thickBot="1" x14ac:dyDescent="0.4">
      <c r="B266" s="524"/>
      <c r="C266" s="525" t="s">
        <v>78</v>
      </c>
      <c r="D266" s="525"/>
      <c r="E266" s="525"/>
      <c r="F266" s="525"/>
      <c r="G266" s="525"/>
      <c r="H266" s="525"/>
      <c r="I266" s="525"/>
      <c r="J266" s="525"/>
      <c r="K266" s="527"/>
      <c r="L266" s="526"/>
    </row>
    <row r="267" spans="1:19" s="2" customFormat="1" ht="15.5" hidden="1" outlineLevel="1" thickTop="1" thickBot="1" x14ac:dyDescent="0.4">
      <c r="B267" s="721"/>
      <c r="C267" s="719" t="s">
        <v>1037</v>
      </c>
      <c r="D267" s="719" t="s">
        <v>2241</v>
      </c>
      <c r="E267" s="719"/>
      <c r="F267" s="719"/>
      <c r="G267" s="719"/>
      <c r="H267" s="719"/>
      <c r="I267" s="719"/>
      <c r="J267" s="719" t="s">
        <v>2242</v>
      </c>
      <c r="K267" s="719"/>
      <c r="L267" s="720"/>
      <c r="M267" s="385"/>
      <c r="P267" s="1"/>
      <c r="Q267" s="1"/>
      <c r="R267" s="1"/>
      <c r="S267" s="779"/>
    </row>
    <row r="268" spans="1:19" ht="15" hidden="1" outlineLevel="1" thickTop="1" x14ac:dyDescent="0.35">
      <c r="A268" s="483"/>
      <c r="B268" s="759" t="s">
        <v>1999</v>
      </c>
      <c r="C268" s="758">
        <v>302</v>
      </c>
      <c r="D268" s="664" t="s">
        <v>2422</v>
      </c>
      <c r="E268" s="664"/>
      <c r="F268" s="665"/>
      <c r="G268" s="664"/>
      <c r="H268" s="664"/>
      <c r="I268" s="664"/>
      <c r="J268" s="727">
        <v>0</v>
      </c>
      <c r="K268" s="664"/>
      <c r="L268" s="666"/>
    </row>
    <row r="269" spans="1:19" hidden="1" outlineLevel="1" x14ac:dyDescent="0.35">
      <c r="A269" s="483"/>
      <c r="B269" s="760" t="s">
        <v>1999</v>
      </c>
      <c r="C269" s="731">
        <v>303</v>
      </c>
      <c r="D269" s="730" t="s">
        <v>1742</v>
      </c>
      <c r="E269" s="730"/>
      <c r="F269" s="731"/>
      <c r="G269" s="730"/>
      <c r="H269" s="730"/>
      <c r="I269" s="730"/>
      <c r="J269" s="732">
        <v>0.1</v>
      </c>
      <c r="K269" s="730"/>
      <c r="L269" s="733"/>
    </row>
    <row r="270" spans="1:19" hidden="1" outlineLevel="1" x14ac:dyDescent="0.35">
      <c r="A270" s="483"/>
      <c r="B270" s="760" t="s">
        <v>1999</v>
      </c>
      <c r="C270" s="731" t="s">
        <v>2315</v>
      </c>
      <c r="D270" s="730" t="s">
        <v>2317</v>
      </c>
      <c r="E270" s="730"/>
      <c r="F270" s="731"/>
      <c r="G270" s="730"/>
      <c r="H270" s="730"/>
      <c r="I270" s="730"/>
      <c r="J270" s="732">
        <v>0.03</v>
      </c>
      <c r="K270" s="730"/>
      <c r="L270" s="733"/>
    </row>
    <row r="271" spans="1:19" hidden="1" outlineLevel="1" x14ac:dyDescent="0.35">
      <c r="A271" s="483"/>
      <c r="B271" s="760" t="s">
        <v>1999</v>
      </c>
      <c r="C271" s="731">
        <v>304</v>
      </c>
      <c r="D271" s="730" t="s">
        <v>1743</v>
      </c>
      <c r="E271" s="730"/>
      <c r="F271" s="731"/>
      <c r="G271" s="730"/>
      <c r="H271" s="730"/>
      <c r="I271" s="730"/>
      <c r="J271" s="732">
        <v>0.1</v>
      </c>
      <c r="K271" s="730"/>
      <c r="L271" s="733"/>
    </row>
    <row r="272" spans="1:19" hidden="1" outlineLevel="1" x14ac:dyDescent="0.35">
      <c r="A272" s="483"/>
      <c r="B272" s="760" t="s">
        <v>1999</v>
      </c>
      <c r="C272" s="731" t="s">
        <v>82</v>
      </c>
      <c r="D272" s="730" t="s">
        <v>1744</v>
      </c>
      <c r="E272" s="730"/>
      <c r="F272" s="731"/>
      <c r="G272" s="730"/>
      <c r="H272" s="730"/>
      <c r="I272" s="730"/>
      <c r="J272" s="732">
        <v>0.1</v>
      </c>
      <c r="K272" s="730"/>
      <c r="L272" s="733"/>
    </row>
    <row r="273" spans="1:12" hidden="1" outlineLevel="1" x14ac:dyDescent="0.35">
      <c r="A273" s="483"/>
      <c r="B273" s="760" t="s">
        <v>1999</v>
      </c>
      <c r="C273" s="731" t="s">
        <v>84</v>
      </c>
      <c r="D273" s="730" t="s">
        <v>1745</v>
      </c>
      <c r="E273" s="730"/>
      <c r="F273" s="731"/>
      <c r="G273" s="730"/>
      <c r="H273" s="730"/>
      <c r="I273" s="730"/>
      <c r="J273" s="732">
        <v>0.1</v>
      </c>
      <c r="K273" s="730"/>
      <c r="L273" s="733"/>
    </row>
    <row r="274" spans="1:12" hidden="1" outlineLevel="1" x14ac:dyDescent="0.35">
      <c r="A274" s="483"/>
      <c r="B274" s="760" t="s">
        <v>1999</v>
      </c>
      <c r="C274" s="731" t="s">
        <v>86</v>
      </c>
      <c r="D274" s="730" t="s">
        <v>1746</v>
      </c>
      <c r="E274" s="730"/>
      <c r="F274" s="731"/>
      <c r="G274" s="730"/>
      <c r="H274" s="730"/>
      <c r="I274" s="730"/>
      <c r="J274" s="732">
        <v>0.08</v>
      </c>
      <c r="K274" s="730"/>
      <c r="L274" s="733"/>
    </row>
    <row r="275" spans="1:12" hidden="1" outlineLevel="1" x14ac:dyDescent="0.35">
      <c r="A275" s="483"/>
      <c r="B275" s="760" t="s">
        <v>1999</v>
      </c>
      <c r="C275" s="731" t="s">
        <v>88</v>
      </c>
      <c r="D275" s="730" t="s">
        <v>1747</v>
      </c>
      <c r="E275" s="730"/>
      <c r="F275" s="731"/>
      <c r="G275" s="730"/>
      <c r="H275" s="730"/>
      <c r="I275" s="730"/>
      <c r="J275" s="732">
        <v>0.08</v>
      </c>
      <c r="K275" s="730"/>
      <c r="L275" s="733"/>
    </row>
    <row r="276" spans="1:12" hidden="1" outlineLevel="1" x14ac:dyDescent="0.35">
      <c r="A276" s="483"/>
      <c r="B276" s="760" t="s">
        <v>1999</v>
      </c>
      <c r="C276" s="731" t="s">
        <v>90</v>
      </c>
      <c r="D276" s="730" t="s">
        <v>1748</v>
      </c>
      <c r="E276" s="730"/>
      <c r="F276" s="731"/>
      <c r="G276" s="730"/>
      <c r="H276" s="730"/>
      <c r="I276" s="730"/>
      <c r="J276" s="732">
        <v>0.1</v>
      </c>
      <c r="K276" s="730"/>
      <c r="L276" s="733"/>
    </row>
    <row r="277" spans="1:12" hidden="1" outlineLevel="1" x14ac:dyDescent="0.35">
      <c r="A277" s="483"/>
      <c r="B277" s="760" t="s">
        <v>1999</v>
      </c>
      <c r="C277" s="731">
        <v>307</v>
      </c>
      <c r="D277" s="730" t="s">
        <v>1749</v>
      </c>
      <c r="E277" s="730"/>
      <c r="F277" s="731"/>
      <c r="G277" s="730"/>
      <c r="H277" s="730"/>
      <c r="I277" s="730"/>
      <c r="J277" s="732">
        <v>0.02</v>
      </c>
      <c r="K277" s="730"/>
      <c r="L277" s="733"/>
    </row>
    <row r="278" spans="1:12" hidden="1" outlineLevel="1" x14ac:dyDescent="0.35">
      <c r="A278" s="483"/>
      <c r="B278" s="760" t="s">
        <v>1999</v>
      </c>
      <c r="C278" s="731">
        <v>308</v>
      </c>
      <c r="D278" s="730" t="s">
        <v>2318</v>
      </c>
      <c r="E278" s="730"/>
      <c r="F278" s="731"/>
      <c r="G278" s="730"/>
      <c r="H278" s="730"/>
      <c r="I278" s="730"/>
      <c r="J278" s="732">
        <v>0.1</v>
      </c>
      <c r="K278" s="730"/>
      <c r="L278" s="733"/>
    </row>
    <row r="279" spans="1:12" hidden="1" outlineLevel="1" x14ac:dyDescent="0.35">
      <c r="A279" s="483"/>
      <c r="B279" s="760" t="s">
        <v>1999</v>
      </c>
      <c r="C279" s="731">
        <v>309</v>
      </c>
      <c r="D279" s="730" t="s">
        <v>1750</v>
      </c>
      <c r="E279" s="730"/>
      <c r="F279" s="731"/>
      <c r="G279" s="730"/>
      <c r="H279" s="730"/>
      <c r="I279" s="730"/>
      <c r="J279" s="732">
        <v>2.75E-2</v>
      </c>
      <c r="K279" s="730"/>
      <c r="L279" s="733"/>
    </row>
    <row r="280" spans="1:12" hidden="1" outlineLevel="1" x14ac:dyDescent="0.35">
      <c r="A280" s="483"/>
      <c r="B280" s="760" t="s">
        <v>1999</v>
      </c>
      <c r="C280" s="731">
        <v>310</v>
      </c>
      <c r="D280" s="730" t="s">
        <v>1751</v>
      </c>
      <c r="E280" s="730"/>
      <c r="F280" s="731"/>
      <c r="G280" s="730"/>
      <c r="H280" s="730"/>
      <c r="I280" s="730"/>
      <c r="J280" s="732">
        <v>0.01</v>
      </c>
      <c r="K280" s="730"/>
      <c r="L280" s="733"/>
    </row>
    <row r="281" spans="1:12" hidden="1" outlineLevel="1" x14ac:dyDescent="0.35">
      <c r="A281" s="483"/>
      <c r="B281" s="760" t="s">
        <v>1999</v>
      </c>
      <c r="C281" s="731">
        <v>311</v>
      </c>
      <c r="D281" s="730" t="s">
        <v>1752</v>
      </c>
      <c r="E281" s="730"/>
      <c r="F281" s="731"/>
      <c r="G281" s="730"/>
      <c r="H281" s="730"/>
      <c r="I281" s="730"/>
      <c r="J281" s="732">
        <v>0.02</v>
      </c>
      <c r="K281" s="730"/>
      <c r="L281" s="733"/>
    </row>
    <row r="282" spans="1:12" hidden="1" outlineLevel="1" x14ac:dyDescent="0.35">
      <c r="A282" s="483"/>
      <c r="B282" s="760" t="s">
        <v>1999</v>
      </c>
      <c r="C282" s="731">
        <v>312</v>
      </c>
      <c r="D282" s="730" t="s">
        <v>1753</v>
      </c>
      <c r="E282" s="730"/>
      <c r="F282" s="731"/>
      <c r="G282" s="730"/>
      <c r="H282" s="730"/>
      <c r="I282" s="730"/>
      <c r="J282" s="732">
        <v>1.7500000000000002E-2</v>
      </c>
      <c r="K282" s="730"/>
      <c r="L282" s="733"/>
    </row>
    <row r="283" spans="1:12" hidden="1" outlineLevel="1" x14ac:dyDescent="0.35">
      <c r="A283" s="483"/>
      <c r="B283" s="760" t="s">
        <v>1999</v>
      </c>
      <c r="C283" s="731" t="s">
        <v>97</v>
      </c>
      <c r="D283" s="730" t="s">
        <v>2319</v>
      </c>
      <c r="E283" s="730"/>
      <c r="F283" s="731"/>
      <c r="G283" s="730"/>
      <c r="H283" s="730"/>
      <c r="I283" s="730"/>
      <c r="J283" s="732">
        <v>0.01</v>
      </c>
      <c r="K283" s="730"/>
      <c r="L283" s="733"/>
    </row>
    <row r="284" spans="1:12" hidden="1" outlineLevel="1" x14ac:dyDescent="0.35">
      <c r="A284" s="483"/>
      <c r="B284" s="760" t="s">
        <v>1999</v>
      </c>
      <c r="C284" s="731" t="s">
        <v>1044</v>
      </c>
      <c r="D284" s="730" t="s">
        <v>1754</v>
      </c>
      <c r="E284" s="730"/>
      <c r="F284" s="731"/>
      <c r="G284" s="730"/>
      <c r="H284" s="730"/>
      <c r="I284" s="730"/>
      <c r="J284" s="732">
        <v>0.01</v>
      </c>
      <c r="K284" s="730"/>
      <c r="L284" s="733"/>
    </row>
    <row r="285" spans="1:12" hidden="1" outlineLevel="1" x14ac:dyDescent="0.35">
      <c r="A285" s="483"/>
      <c r="B285" s="760" t="s">
        <v>1999</v>
      </c>
      <c r="C285" s="731" t="s">
        <v>2320</v>
      </c>
      <c r="D285" s="730" t="s">
        <v>2321</v>
      </c>
      <c r="E285" s="730"/>
      <c r="F285" s="731"/>
      <c r="G285" s="730"/>
      <c r="H285" s="730"/>
      <c r="I285" s="730"/>
      <c r="J285" s="732">
        <v>1.7500000000000002E-2</v>
      </c>
      <c r="K285" s="730"/>
      <c r="L285" s="733"/>
    </row>
    <row r="286" spans="1:12" hidden="1" outlineLevel="1" x14ac:dyDescent="0.35">
      <c r="A286" s="483"/>
      <c r="B286" s="760" t="s">
        <v>1999</v>
      </c>
      <c r="C286" s="731" t="s">
        <v>99</v>
      </c>
      <c r="D286" s="730" t="s">
        <v>2322</v>
      </c>
      <c r="E286" s="730"/>
      <c r="F286" s="731"/>
      <c r="G286" s="730"/>
      <c r="H286" s="730"/>
      <c r="I286" s="730"/>
      <c r="J286" s="732">
        <v>0.1</v>
      </c>
      <c r="K286" s="730"/>
      <c r="L286" s="733"/>
    </row>
    <row r="287" spans="1:12" hidden="1" outlineLevel="1" x14ac:dyDescent="0.35">
      <c r="A287" s="483"/>
      <c r="B287" s="760" t="s">
        <v>1999</v>
      </c>
      <c r="C287" s="731" t="s">
        <v>101</v>
      </c>
      <c r="D287" s="730" t="s">
        <v>2323</v>
      </c>
      <c r="E287" s="730"/>
      <c r="F287" s="731"/>
      <c r="G287" s="730"/>
      <c r="H287" s="730"/>
      <c r="I287" s="730"/>
      <c r="J287" s="732">
        <v>0.1</v>
      </c>
      <c r="K287" s="730"/>
      <c r="L287" s="733"/>
    </row>
    <row r="288" spans="1:12" hidden="1" outlineLevel="1" x14ac:dyDescent="0.35">
      <c r="A288" s="483"/>
      <c r="B288" s="760" t="s">
        <v>1999</v>
      </c>
      <c r="C288" s="731" t="s">
        <v>103</v>
      </c>
      <c r="D288" s="730" t="s">
        <v>2324</v>
      </c>
      <c r="E288" s="730"/>
      <c r="F288" s="731"/>
      <c r="G288" s="730"/>
      <c r="H288" s="730"/>
      <c r="I288" s="730"/>
      <c r="J288" s="732">
        <v>0.1</v>
      </c>
      <c r="K288" s="730"/>
      <c r="L288" s="733"/>
    </row>
    <row r="289" spans="1:12" hidden="1" outlineLevel="1" x14ac:dyDescent="0.35">
      <c r="A289" s="483"/>
      <c r="B289" s="760" t="s">
        <v>1999</v>
      </c>
      <c r="C289" s="731" t="s">
        <v>105</v>
      </c>
      <c r="D289" s="730" t="s">
        <v>2325</v>
      </c>
      <c r="E289" s="730"/>
      <c r="F289" s="731"/>
      <c r="G289" s="730"/>
      <c r="H289" s="730"/>
      <c r="I289" s="730"/>
      <c r="J289" s="732">
        <v>0.1</v>
      </c>
      <c r="K289" s="730"/>
      <c r="L289" s="733"/>
    </row>
    <row r="290" spans="1:12" hidden="1" outlineLevel="1" x14ac:dyDescent="0.35">
      <c r="A290" s="483"/>
      <c r="B290" s="760" t="s">
        <v>1999</v>
      </c>
      <c r="C290" s="731">
        <v>319</v>
      </c>
      <c r="D290" s="730" t="s">
        <v>1755</v>
      </c>
      <c r="E290" s="730"/>
      <c r="F290" s="731"/>
      <c r="G290" s="730"/>
      <c r="H290" s="730"/>
      <c r="I290" s="730"/>
      <c r="J290" s="732">
        <v>0.02</v>
      </c>
      <c r="K290" s="730"/>
      <c r="L290" s="733"/>
    </row>
    <row r="291" spans="1:12" hidden="1" outlineLevel="1" x14ac:dyDescent="0.35">
      <c r="A291" s="483"/>
      <c r="B291" s="760" t="s">
        <v>1999</v>
      </c>
      <c r="C291" s="731">
        <v>320</v>
      </c>
      <c r="D291" s="730" t="s">
        <v>1756</v>
      </c>
      <c r="E291" s="730"/>
      <c r="F291" s="731"/>
      <c r="G291" s="730"/>
      <c r="H291" s="730"/>
      <c r="I291" s="730"/>
      <c r="J291" s="732">
        <v>0.1</v>
      </c>
      <c r="K291" s="730"/>
      <c r="L291" s="733"/>
    </row>
    <row r="292" spans="1:12" hidden="1" outlineLevel="1" x14ac:dyDescent="0.35">
      <c r="A292" s="483"/>
      <c r="B292" s="760" t="s">
        <v>1999</v>
      </c>
      <c r="C292" s="731">
        <v>322</v>
      </c>
      <c r="D292" s="730" t="s">
        <v>1757</v>
      </c>
      <c r="E292" s="730"/>
      <c r="F292" s="731"/>
      <c r="G292" s="730"/>
      <c r="H292" s="730"/>
      <c r="I292" s="730"/>
      <c r="J292" s="732">
        <v>0.01</v>
      </c>
      <c r="K292" s="730"/>
      <c r="L292" s="733"/>
    </row>
    <row r="293" spans="1:12" hidden="1" outlineLevel="1" x14ac:dyDescent="0.35">
      <c r="A293" s="483"/>
      <c r="B293" s="760" t="s">
        <v>1999</v>
      </c>
      <c r="C293" s="731">
        <v>323</v>
      </c>
      <c r="D293" s="730" t="s">
        <v>1758</v>
      </c>
      <c r="E293" s="730"/>
      <c r="F293" s="731"/>
      <c r="G293" s="730"/>
      <c r="H293" s="730"/>
      <c r="I293" s="730"/>
      <c r="J293" s="732">
        <v>0.02</v>
      </c>
      <c r="K293" s="730"/>
      <c r="L293" s="733"/>
    </row>
    <row r="294" spans="1:12" hidden="1" outlineLevel="1" x14ac:dyDescent="0.35">
      <c r="A294" s="483"/>
      <c r="B294" s="760" t="s">
        <v>1999</v>
      </c>
      <c r="C294" s="731" t="s">
        <v>109</v>
      </c>
      <c r="D294" s="730" t="s">
        <v>1759</v>
      </c>
      <c r="E294" s="730"/>
      <c r="F294" s="731"/>
      <c r="G294" s="730"/>
      <c r="H294" s="730"/>
      <c r="I294" s="730"/>
      <c r="J294" s="732">
        <v>0.02</v>
      </c>
      <c r="K294" s="730"/>
      <c r="L294" s="733"/>
    </row>
    <row r="295" spans="1:12" hidden="1" outlineLevel="1" x14ac:dyDescent="0.35">
      <c r="A295" s="483"/>
      <c r="B295" s="760" t="s">
        <v>1999</v>
      </c>
      <c r="C295" s="731" t="s">
        <v>111</v>
      </c>
      <c r="D295" s="730" t="s">
        <v>1760</v>
      </c>
      <c r="E295" s="730"/>
      <c r="F295" s="731"/>
      <c r="G295" s="730"/>
      <c r="H295" s="730"/>
      <c r="I295" s="730"/>
      <c r="J295" s="732">
        <v>0.02</v>
      </c>
      <c r="K295" s="730"/>
      <c r="L295" s="733"/>
    </row>
    <row r="296" spans="1:12" hidden="1" outlineLevel="1" x14ac:dyDescent="0.35">
      <c r="A296" s="483"/>
      <c r="B296" s="760" t="s">
        <v>1999</v>
      </c>
      <c r="C296" s="731" t="s">
        <v>113</v>
      </c>
      <c r="D296" s="730" t="s">
        <v>1761</v>
      </c>
      <c r="E296" s="730"/>
      <c r="F296" s="731"/>
      <c r="G296" s="730"/>
      <c r="H296" s="730"/>
      <c r="I296" s="730"/>
      <c r="J296" s="732">
        <v>0.02</v>
      </c>
      <c r="K296" s="730"/>
      <c r="L296" s="733"/>
    </row>
    <row r="297" spans="1:12" hidden="1" outlineLevel="1" x14ac:dyDescent="0.35">
      <c r="A297" s="483"/>
      <c r="B297" s="760" t="s">
        <v>1999</v>
      </c>
      <c r="C297" s="731" t="s">
        <v>115</v>
      </c>
      <c r="D297" s="730" t="s">
        <v>1762</v>
      </c>
      <c r="E297" s="730"/>
      <c r="F297" s="731"/>
      <c r="G297" s="730"/>
      <c r="H297" s="730"/>
      <c r="I297" s="730"/>
      <c r="J297" s="732">
        <v>0</v>
      </c>
      <c r="K297" s="730"/>
      <c r="L297" s="733"/>
    </row>
    <row r="298" spans="1:12" hidden="1" outlineLevel="1" x14ac:dyDescent="0.35">
      <c r="A298" s="483"/>
      <c r="B298" s="760" t="s">
        <v>1999</v>
      </c>
      <c r="C298" s="731" t="s">
        <v>117</v>
      </c>
      <c r="D298" s="730" t="s">
        <v>1763</v>
      </c>
      <c r="E298" s="730"/>
      <c r="F298" s="731"/>
      <c r="G298" s="730"/>
      <c r="H298" s="730"/>
      <c r="I298" s="730"/>
      <c r="J298" s="732">
        <v>0.02</v>
      </c>
      <c r="K298" s="730"/>
      <c r="L298" s="733"/>
    </row>
    <row r="299" spans="1:12" hidden="1" outlineLevel="1" x14ac:dyDescent="0.35">
      <c r="A299" s="483"/>
      <c r="B299" s="760" t="s">
        <v>1999</v>
      </c>
      <c r="C299" s="731" t="s">
        <v>119</v>
      </c>
      <c r="D299" s="730" t="s">
        <v>1764</v>
      </c>
      <c r="E299" s="730"/>
      <c r="F299" s="731"/>
      <c r="G299" s="730"/>
      <c r="H299" s="730"/>
      <c r="I299" s="730"/>
      <c r="J299" s="732">
        <v>0.02</v>
      </c>
      <c r="K299" s="730"/>
      <c r="L299" s="733"/>
    </row>
    <row r="300" spans="1:12" hidden="1" outlineLevel="1" x14ac:dyDescent="0.35">
      <c r="A300" s="483"/>
      <c r="B300" s="760" t="s">
        <v>1999</v>
      </c>
      <c r="C300" s="731" t="s">
        <v>121</v>
      </c>
      <c r="D300" s="730" t="s">
        <v>1765</v>
      </c>
      <c r="E300" s="730"/>
      <c r="F300" s="731"/>
      <c r="G300" s="730"/>
      <c r="H300" s="730"/>
      <c r="I300" s="730"/>
      <c r="J300" s="732">
        <v>0.02</v>
      </c>
      <c r="K300" s="730"/>
      <c r="L300" s="733"/>
    </row>
    <row r="301" spans="1:12" hidden="1" outlineLevel="1" x14ac:dyDescent="0.35">
      <c r="A301" s="483"/>
      <c r="B301" s="760" t="s">
        <v>1999</v>
      </c>
      <c r="C301" s="731" t="s">
        <v>123</v>
      </c>
      <c r="D301" s="730" t="s">
        <v>1766</v>
      </c>
      <c r="E301" s="730"/>
      <c r="F301" s="731"/>
      <c r="G301" s="730"/>
      <c r="H301" s="730"/>
      <c r="I301" s="730"/>
      <c r="J301" s="732">
        <v>0.02</v>
      </c>
      <c r="K301" s="730"/>
      <c r="L301" s="733"/>
    </row>
    <row r="302" spans="1:12" hidden="1" outlineLevel="1" x14ac:dyDescent="0.35">
      <c r="A302" s="483"/>
      <c r="B302" s="760" t="s">
        <v>1999</v>
      </c>
      <c r="C302" s="731" t="s">
        <v>125</v>
      </c>
      <c r="D302" s="730" t="s">
        <v>1767</v>
      </c>
      <c r="E302" s="730"/>
      <c r="F302" s="731"/>
      <c r="G302" s="730"/>
      <c r="H302" s="730"/>
      <c r="I302" s="730"/>
      <c r="J302" s="732">
        <v>0.02</v>
      </c>
      <c r="K302" s="730"/>
      <c r="L302" s="733"/>
    </row>
    <row r="303" spans="1:12" hidden="1" outlineLevel="1" x14ac:dyDescent="0.35">
      <c r="A303" s="483"/>
      <c r="B303" s="760" t="s">
        <v>1999</v>
      </c>
      <c r="C303" s="731" t="s">
        <v>127</v>
      </c>
      <c r="D303" s="730" t="s">
        <v>1768</v>
      </c>
      <c r="E303" s="730"/>
      <c r="F303" s="731"/>
      <c r="G303" s="730"/>
      <c r="H303" s="730"/>
      <c r="I303" s="730"/>
      <c r="J303" s="732">
        <v>0</v>
      </c>
      <c r="K303" s="730"/>
      <c r="L303" s="733"/>
    </row>
    <row r="304" spans="1:12" hidden="1" outlineLevel="1" x14ac:dyDescent="0.35">
      <c r="A304" s="483"/>
      <c r="B304" s="760" t="s">
        <v>1999</v>
      </c>
      <c r="C304" s="731" t="s">
        <v>129</v>
      </c>
      <c r="D304" s="730" t="s">
        <v>1769</v>
      </c>
      <c r="E304" s="730"/>
      <c r="F304" s="731"/>
      <c r="G304" s="730"/>
      <c r="H304" s="730"/>
      <c r="I304" s="730"/>
      <c r="J304" s="732">
        <v>0</v>
      </c>
      <c r="K304" s="730"/>
      <c r="L304" s="733"/>
    </row>
    <row r="305" spans="1:12" hidden="1" outlineLevel="1" x14ac:dyDescent="0.35">
      <c r="A305" s="483"/>
      <c r="B305" s="760" t="s">
        <v>1999</v>
      </c>
      <c r="C305" s="731" t="s">
        <v>131</v>
      </c>
      <c r="D305" s="730" t="s">
        <v>1770</v>
      </c>
      <c r="E305" s="730"/>
      <c r="F305" s="731"/>
      <c r="G305" s="730"/>
      <c r="H305" s="730"/>
      <c r="I305" s="730"/>
      <c r="J305" s="732">
        <v>0.02</v>
      </c>
      <c r="K305" s="730"/>
      <c r="L305" s="733"/>
    </row>
    <row r="306" spans="1:12" hidden="1" outlineLevel="1" x14ac:dyDescent="0.35">
      <c r="A306" s="483"/>
      <c r="B306" s="760" t="s">
        <v>1999</v>
      </c>
      <c r="C306" s="731" t="s">
        <v>133</v>
      </c>
      <c r="D306" s="730" t="s">
        <v>1771</v>
      </c>
      <c r="E306" s="730"/>
      <c r="F306" s="731"/>
      <c r="G306" s="730"/>
      <c r="H306" s="730"/>
      <c r="I306" s="730"/>
      <c r="J306" s="732">
        <v>0.02</v>
      </c>
      <c r="K306" s="730"/>
      <c r="L306" s="733"/>
    </row>
    <row r="307" spans="1:12" hidden="1" outlineLevel="1" x14ac:dyDescent="0.35">
      <c r="A307" s="483"/>
      <c r="B307" s="760" t="s">
        <v>1999</v>
      </c>
      <c r="C307" s="731" t="s">
        <v>135</v>
      </c>
      <c r="D307" s="730" t="s">
        <v>1772</v>
      </c>
      <c r="E307" s="730"/>
      <c r="F307" s="731"/>
      <c r="G307" s="730"/>
      <c r="H307" s="730"/>
      <c r="I307" s="730"/>
      <c r="J307" s="732">
        <v>0</v>
      </c>
      <c r="K307" s="730"/>
      <c r="L307" s="733"/>
    </row>
    <row r="308" spans="1:12" hidden="1" outlineLevel="1" x14ac:dyDescent="0.35">
      <c r="A308" s="483"/>
      <c r="B308" s="760" t="s">
        <v>1999</v>
      </c>
      <c r="C308" s="731" t="s">
        <v>1046</v>
      </c>
      <c r="D308" s="730" t="s">
        <v>1773</v>
      </c>
      <c r="E308" s="730"/>
      <c r="F308" s="731"/>
      <c r="G308" s="730"/>
      <c r="H308" s="730"/>
      <c r="I308" s="730"/>
      <c r="J308" s="732">
        <v>0.02</v>
      </c>
      <c r="K308" s="730"/>
      <c r="L308" s="733"/>
    </row>
    <row r="309" spans="1:12" hidden="1" outlineLevel="1" x14ac:dyDescent="0.35">
      <c r="A309" s="483"/>
      <c r="B309" s="760" t="s">
        <v>1999</v>
      </c>
      <c r="C309" s="731" t="s">
        <v>1048</v>
      </c>
      <c r="D309" s="730" t="s">
        <v>1774</v>
      </c>
      <c r="E309" s="730"/>
      <c r="F309" s="731"/>
      <c r="G309" s="730"/>
      <c r="H309" s="730"/>
      <c r="I309" s="730"/>
      <c r="J309" s="732">
        <v>0</v>
      </c>
      <c r="K309" s="730"/>
      <c r="L309" s="733"/>
    </row>
    <row r="310" spans="1:12" hidden="1" outlineLevel="1" x14ac:dyDescent="0.35">
      <c r="A310" s="483"/>
      <c r="B310" s="760" t="s">
        <v>1999</v>
      </c>
      <c r="C310" s="731" t="s">
        <v>1050</v>
      </c>
      <c r="D310" s="730" t="s">
        <v>1775</v>
      </c>
      <c r="E310" s="730"/>
      <c r="F310" s="731"/>
      <c r="G310" s="730"/>
      <c r="H310" s="730"/>
      <c r="I310" s="730"/>
      <c r="J310" s="732">
        <v>0</v>
      </c>
      <c r="K310" s="730"/>
      <c r="L310" s="733"/>
    </row>
    <row r="311" spans="1:12" hidden="1" outlineLevel="1" x14ac:dyDescent="0.35">
      <c r="A311" s="483"/>
      <c r="B311" s="760" t="s">
        <v>1999</v>
      </c>
      <c r="C311" s="731" t="s">
        <v>137</v>
      </c>
      <c r="D311" s="730" t="s">
        <v>1776</v>
      </c>
      <c r="E311" s="730"/>
      <c r="F311" s="731"/>
      <c r="G311" s="730"/>
      <c r="H311" s="730"/>
      <c r="I311" s="730"/>
      <c r="J311" s="732">
        <v>0.01</v>
      </c>
      <c r="K311" s="730"/>
      <c r="L311" s="733"/>
    </row>
    <row r="312" spans="1:12" hidden="1" outlineLevel="1" x14ac:dyDescent="0.35">
      <c r="A312" s="483"/>
      <c r="B312" s="760" t="s">
        <v>1999</v>
      </c>
      <c r="C312" s="731" t="s">
        <v>139</v>
      </c>
      <c r="D312" s="730" t="s">
        <v>1777</v>
      </c>
      <c r="E312" s="730"/>
      <c r="F312" s="731"/>
      <c r="G312" s="730"/>
      <c r="H312" s="730"/>
      <c r="I312" s="730"/>
      <c r="J312" s="732">
        <v>0.01</v>
      </c>
      <c r="K312" s="730"/>
      <c r="L312" s="733"/>
    </row>
    <row r="313" spans="1:12" hidden="1" outlineLevel="1" x14ac:dyDescent="0.35">
      <c r="A313" s="483"/>
      <c r="B313" s="760" t="s">
        <v>1999</v>
      </c>
      <c r="C313" s="731" t="s">
        <v>1052</v>
      </c>
      <c r="D313" s="730" t="s">
        <v>1778</v>
      </c>
      <c r="E313" s="730"/>
      <c r="F313" s="731"/>
      <c r="G313" s="730"/>
      <c r="H313" s="730"/>
      <c r="I313" s="730"/>
      <c r="J313" s="732">
        <v>0.01</v>
      </c>
      <c r="K313" s="730"/>
      <c r="L313" s="733"/>
    </row>
    <row r="314" spans="1:12" hidden="1" outlineLevel="1" x14ac:dyDescent="0.35">
      <c r="A314" s="483"/>
      <c r="B314" s="760" t="s">
        <v>1999</v>
      </c>
      <c r="C314" s="731">
        <v>325</v>
      </c>
      <c r="D314" s="730" t="s">
        <v>1779</v>
      </c>
      <c r="E314" s="730"/>
      <c r="F314" s="731"/>
      <c r="G314" s="730"/>
      <c r="H314" s="730"/>
      <c r="I314" s="730"/>
      <c r="J314" s="732">
        <v>0.25</v>
      </c>
      <c r="K314" s="730"/>
      <c r="L314" s="733"/>
    </row>
    <row r="315" spans="1:12" hidden="1" outlineLevel="1" x14ac:dyDescent="0.35">
      <c r="A315" s="483"/>
      <c r="B315" s="760" t="s">
        <v>1999</v>
      </c>
      <c r="C315" s="731" t="s">
        <v>142</v>
      </c>
      <c r="D315" s="730" t="s">
        <v>1780</v>
      </c>
      <c r="E315" s="730"/>
      <c r="F315" s="731"/>
      <c r="G315" s="730"/>
      <c r="H315" s="730"/>
      <c r="I315" s="730"/>
      <c r="J315" s="732">
        <v>0.25</v>
      </c>
      <c r="K315" s="730"/>
      <c r="L315" s="733"/>
    </row>
    <row r="316" spans="1:12" hidden="1" outlineLevel="1" x14ac:dyDescent="0.35">
      <c r="A316" s="483"/>
      <c r="B316" s="760" t="s">
        <v>1999</v>
      </c>
      <c r="C316" s="731">
        <v>326</v>
      </c>
      <c r="D316" s="730" t="s">
        <v>1781</v>
      </c>
      <c r="E316" s="730"/>
      <c r="F316" s="731"/>
      <c r="G316" s="730"/>
      <c r="H316" s="730"/>
      <c r="I316" s="730"/>
      <c r="J316" s="732">
        <v>0</v>
      </c>
      <c r="K316" s="730"/>
      <c r="L316" s="733"/>
    </row>
    <row r="317" spans="1:12" hidden="1" outlineLevel="1" x14ac:dyDescent="0.35">
      <c r="A317" s="483"/>
      <c r="B317" s="760" t="s">
        <v>1999</v>
      </c>
      <c r="C317" s="731">
        <v>327</v>
      </c>
      <c r="D317" s="730" t="s">
        <v>1782</v>
      </c>
      <c r="E317" s="730"/>
      <c r="F317" s="731"/>
      <c r="G317" s="730"/>
      <c r="H317" s="730"/>
      <c r="I317" s="730"/>
      <c r="J317" s="732">
        <v>0</v>
      </c>
      <c r="K317" s="730"/>
      <c r="L317" s="733"/>
    </row>
    <row r="318" spans="1:12" hidden="1" outlineLevel="1" x14ac:dyDescent="0.35">
      <c r="A318" s="483"/>
      <c r="B318" s="760" t="s">
        <v>1999</v>
      </c>
      <c r="C318" s="731">
        <v>328</v>
      </c>
      <c r="D318" s="730" t="s">
        <v>1783</v>
      </c>
      <c r="E318" s="730"/>
      <c r="F318" s="731"/>
      <c r="G318" s="730"/>
      <c r="H318" s="730"/>
      <c r="I318" s="730"/>
      <c r="J318" s="732">
        <v>0</v>
      </c>
      <c r="K318" s="730"/>
      <c r="L318" s="733"/>
    </row>
    <row r="319" spans="1:12" hidden="1" outlineLevel="1" x14ac:dyDescent="0.35">
      <c r="A319" s="483"/>
      <c r="B319" s="760" t="s">
        <v>1999</v>
      </c>
      <c r="C319" s="731">
        <v>329</v>
      </c>
      <c r="D319" s="730" t="s">
        <v>1784</v>
      </c>
      <c r="E319" s="730"/>
      <c r="F319" s="731"/>
      <c r="G319" s="730"/>
      <c r="H319" s="730"/>
      <c r="I319" s="730"/>
      <c r="J319" s="732">
        <v>0</v>
      </c>
      <c r="K319" s="730"/>
      <c r="L319" s="733"/>
    </row>
    <row r="320" spans="1:12" hidden="1" outlineLevel="1" x14ac:dyDescent="0.35">
      <c r="A320" s="483"/>
      <c r="B320" s="760" t="s">
        <v>1999</v>
      </c>
      <c r="C320" s="731">
        <v>330</v>
      </c>
      <c r="D320" s="730" t="s">
        <v>1785</v>
      </c>
      <c r="E320" s="730"/>
      <c r="F320" s="731"/>
      <c r="G320" s="730"/>
      <c r="H320" s="730"/>
      <c r="I320" s="730"/>
      <c r="J320" s="732">
        <v>0</v>
      </c>
      <c r="K320" s="730"/>
      <c r="L320" s="733"/>
    </row>
    <row r="321" spans="1:12" hidden="1" outlineLevel="1" x14ac:dyDescent="0.35">
      <c r="A321" s="483"/>
      <c r="B321" s="760" t="s">
        <v>1999</v>
      </c>
      <c r="C321" s="731">
        <v>331</v>
      </c>
      <c r="D321" s="730" t="s">
        <v>1786</v>
      </c>
      <c r="E321" s="730"/>
      <c r="F321" s="731"/>
      <c r="G321" s="730"/>
      <c r="H321" s="730"/>
      <c r="I321" s="730"/>
      <c r="J321" s="732">
        <v>0</v>
      </c>
      <c r="K321" s="730"/>
      <c r="L321" s="733"/>
    </row>
    <row r="322" spans="1:12" hidden="1" outlineLevel="1" x14ac:dyDescent="0.35">
      <c r="A322" s="483"/>
      <c r="B322" s="760" t="s">
        <v>1999</v>
      </c>
      <c r="C322" s="731">
        <v>332</v>
      </c>
      <c r="D322" s="730" t="s">
        <v>2070</v>
      </c>
      <c r="E322" s="730"/>
      <c r="F322" s="731"/>
      <c r="G322" s="730"/>
      <c r="H322" s="730"/>
      <c r="I322" s="730"/>
      <c r="J322" s="732">
        <v>0</v>
      </c>
      <c r="K322" s="730" t="s">
        <v>2073</v>
      </c>
      <c r="L322" s="733"/>
    </row>
    <row r="323" spans="1:12" hidden="1" outlineLevel="1" x14ac:dyDescent="0.35">
      <c r="A323" s="483"/>
      <c r="B323" s="760" t="s">
        <v>1999</v>
      </c>
      <c r="C323" s="731" t="s">
        <v>148</v>
      </c>
      <c r="D323" s="730" t="s">
        <v>1787</v>
      </c>
      <c r="E323" s="730"/>
      <c r="F323" s="731"/>
      <c r="G323" s="730"/>
      <c r="H323" s="730"/>
      <c r="I323" s="730"/>
      <c r="J323" s="732">
        <v>0</v>
      </c>
      <c r="K323" s="730"/>
      <c r="L323" s="733"/>
    </row>
    <row r="324" spans="1:12" hidden="1" outlineLevel="1" x14ac:dyDescent="0.35">
      <c r="A324" s="483"/>
      <c r="B324" s="760" t="s">
        <v>1999</v>
      </c>
      <c r="C324" s="731" t="s">
        <v>150</v>
      </c>
      <c r="D324" s="730" t="s">
        <v>1788</v>
      </c>
      <c r="E324" s="730"/>
      <c r="F324" s="731"/>
      <c r="G324" s="730"/>
      <c r="H324" s="730"/>
      <c r="I324" s="730"/>
      <c r="J324" s="732">
        <v>0</v>
      </c>
      <c r="K324" s="730"/>
      <c r="L324" s="733"/>
    </row>
    <row r="325" spans="1:12" hidden="1" outlineLevel="1" x14ac:dyDescent="0.35">
      <c r="A325" s="483"/>
      <c r="B325" s="760" t="s">
        <v>1999</v>
      </c>
      <c r="C325" s="731" t="s">
        <v>152</v>
      </c>
      <c r="D325" s="730" t="s">
        <v>1789</v>
      </c>
      <c r="E325" s="730"/>
      <c r="F325" s="731"/>
      <c r="G325" s="730"/>
      <c r="H325" s="730"/>
      <c r="I325" s="730"/>
      <c r="J325" s="732">
        <v>0</v>
      </c>
      <c r="K325" s="730"/>
      <c r="L325" s="733"/>
    </row>
    <row r="326" spans="1:12" hidden="1" outlineLevel="1" x14ac:dyDescent="0.35">
      <c r="A326" s="483"/>
      <c r="B326" s="760" t="s">
        <v>1999</v>
      </c>
      <c r="C326" s="731" t="s">
        <v>154</v>
      </c>
      <c r="D326" s="730" t="s">
        <v>1790</v>
      </c>
      <c r="E326" s="730"/>
      <c r="F326" s="731"/>
      <c r="G326" s="730"/>
      <c r="H326" s="730"/>
      <c r="I326" s="730"/>
      <c r="J326" s="732">
        <v>0</v>
      </c>
      <c r="K326" s="730"/>
      <c r="L326" s="733"/>
    </row>
    <row r="327" spans="1:12" hidden="1" outlineLevel="1" x14ac:dyDescent="0.35">
      <c r="A327" s="483"/>
      <c r="B327" s="760" t="s">
        <v>1999</v>
      </c>
      <c r="C327" s="731" t="s">
        <v>156</v>
      </c>
      <c r="D327" s="730" t="s">
        <v>1791</v>
      </c>
      <c r="E327" s="730"/>
      <c r="F327" s="731"/>
      <c r="G327" s="730"/>
      <c r="H327" s="730"/>
      <c r="I327" s="730"/>
      <c r="J327" s="732">
        <v>0</v>
      </c>
      <c r="K327" s="730"/>
      <c r="L327" s="733"/>
    </row>
    <row r="328" spans="1:12" hidden="1" outlineLevel="1" x14ac:dyDescent="0.35">
      <c r="A328" s="483"/>
      <c r="B328" s="760" t="s">
        <v>1999</v>
      </c>
      <c r="C328" s="731" t="s">
        <v>158</v>
      </c>
      <c r="D328" s="730" t="s">
        <v>1792</v>
      </c>
      <c r="E328" s="730"/>
      <c r="F328" s="731"/>
      <c r="G328" s="730"/>
      <c r="H328" s="730"/>
      <c r="I328" s="730"/>
      <c r="J328" s="732">
        <v>0</v>
      </c>
      <c r="K328" s="730"/>
      <c r="L328" s="733"/>
    </row>
    <row r="329" spans="1:12" hidden="1" outlineLevel="1" x14ac:dyDescent="0.35">
      <c r="A329" s="483"/>
      <c r="B329" s="760" t="s">
        <v>1999</v>
      </c>
      <c r="C329" s="731" t="s">
        <v>160</v>
      </c>
      <c r="D329" s="730" t="s">
        <v>1793</v>
      </c>
      <c r="E329" s="730"/>
      <c r="F329" s="731"/>
      <c r="G329" s="730"/>
      <c r="H329" s="730"/>
      <c r="I329" s="730"/>
      <c r="J329" s="732">
        <v>0</v>
      </c>
      <c r="K329" s="730"/>
      <c r="L329" s="733"/>
    </row>
    <row r="330" spans="1:12" hidden="1" outlineLevel="1" x14ac:dyDescent="0.35">
      <c r="A330" s="483"/>
      <c r="B330" s="760" t="s">
        <v>1999</v>
      </c>
      <c r="C330" s="731" t="s">
        <v>162</v>
      </c>
      <c r="D330" s="730" t="s">
        <v>1794</v>
      </c>
      <c r="E330" s="730"/>
      <c r="F330" s="731"/>
      <c r="G330" s="730"/>
      <c r="H330" s="730"/>
      <c r="I330" s="730"/>
      <c r="J330" s="732">
        <v>0</v>
      </c>
      <c r="K330" s="730"/>
      <c r="L330" s="733"/>
    </row>
    <row r="331" spans="1:12" hidden="1" outlineLevel="1" x14ac:dyDescent="0.35">
      <c r="A331" s="483"/>
      <c r="B331" s="760" t="s">
        <v>1999</v>
      </c>
      <c r="C331" s="731">
        <v>333</v>
      </c>
      <c r="D331" s="730" t="s">
        <v>1795</v>
      </c>
      <c r="E331" s="730"/>
      <c r="F331" s="731"/>
      <c r="G331" s="730"/>
      <c r="H331" s="730"/>
      <c r="I331" s="730"/>
      <c r="J331" s="732">
        <v>0.1</v>
      </c>
      <c r="K331" s="730"/>
      <c r="L331" s="733"/>
    </row>
    <row r="332" spans="1:12" hidden="1" outlineLevel="1" x14ac:dyDescent="0.35">
      <c r="A332" s="483"/>
      <c r="B332" s="760" t="s">
        <v>1999</v>
      </c>
      <c r="C332" s="731">
        <v>334</v>
      </c>
      <c r="D332" s="730" t="s">
        <v>1796</v>
      </c>
      <c r="E332" s="730"/>
      <c r="F332" s="731"/>
      <c r="G332" s="730"/>
      <c r="H332" s="730"/>
      <c r="I332" s="730"/>
      <c r="J332" s="732">
        <v>0.01</v>
      </c>
      <c r="K332" s="730"/>
      <c r="L332" s="733"/>
    </row>
    <row r="333" spans="1:12" hidden="1" outlineLevel="1" x14ac:dyDescent="0.35">
      <c r="A333" s="483"/>
      <c r="B333" s="760" t="s">
        <v>1999</v>
      </c>
      <c r="C333" s="731">
        <v>335</v>
      </c>
      <c r="D333" s="730" t="s">
        <v>2289</v>
      </c>
      <c r="E333" s="730"/>
      <c r="F333" s="731"/>
      <c r="G333" s="730"/>
      <c r="H333" s="730"/>
      <c r="I333" s="730"/>
      <c r="J333" s="732">
        <v>0.15</v>
      </c>
      <c r="K333" s="730"/>
      <c r="L333" s="733"/>
    </row>
    <row r="334" spans="1:12" hidden="1" outlineLevel="1" x14ac:dyDescent="0.35">
      <c r="A334" s="483"/>
      <c r="B334" s="760" t="s">
        <v>1999</v>
      </c>
      <c r="C334" s="731">
        <v>336</v>
      </c>
      <c r="D334" s="730" t="s">
        <v>1797</v>
      </c>
      <c r="E334" s="730"/>
      <c r="F334" s="731"/>
      <c r="G334" s="730"/>
      <c r="H334" s="730"/>
      <c r="I334" s="730"/>
      <c r="J334" s="732">
        <v>2.0000000000000001E-4</v>
      </c>
      <c r="K334" s="730"/>
      <c r="L334" s="733"/>
    </row>
    <row r="335" spans="1:12" hidden="1" outlineLevel="1" x14ac:dyDescent="0.35">
      <c r="A335" s="483"/>
      <c r="B335" s="760" t="s">
        <v>1999</v>
      </c>
      <c r="C335" s="731">
        <v>337</v>
      </c>
      <c r="D335" s="730" t="s">
        <v>1798</v>
      </c>
      <c r="E335" s="730"/>
      <c r="F335" s="731"/>
      <c r="G335" s="730"/>
      <c r="H335" s="730"/>
      <c r="I335" s="730"/>
      <c r="J335" s="732">
        <v>2.9999999999999997E-4</v>
      </c>
      <c r="K335" s="730"/>
      <c r="L335" s="733"/>
    </row>
    <row r="336" spans="1:12" hidden="1" outlineLevel="1" x14ac:dyDescent="0.35">
      <c r="A336" s="483"/>
      <c r="B336" s="760" t="s">
        <v>1999</v>
      </c>
      <c r="C336" s="731">
        <v>338</v>
      </c>
      <c r="D336" s="730" t="s">
        <v>1799</v>
      </c>
      <c r="E336" s="730"/>
      <c r="F336" s="731"/>
      <c r="G336" s="730"/>
      <c r="H336" s="730"/>
      <c r="I336" s="730"/>
      <c r="J336" s="732">
        <v>0.02</v>
      </c>
      <c r="K336" s="730"/>
      <c r="L336" s="733"/>
    </row>
    <row r="337" spans="1:12" hidden="1" outlineLevel="1" x14ac:dyDescent="0.35">
      <c r="A337" s="483"/>
      <c r="B337" s="760" t="s">
        <v>1999</v>
      </c>
      <c r="C337" s="731">
        <v>339</v>
      </c>
      <c r="D337" s="730" t="s">
        <v>1800</v>
      </c>
      <c r="E337" s="730"/>
      <c r="F337" s="731"/>
      <c r="G337" s="730"/>
      <c r="H337" s="730"/>
      <c r="I337" s="730"/>
      <c r="J337" s="732">
        <v>0</v>
      </c>
      <c r="K337" s="730"/>
      <c r="L337" s="733"/>
    </row>
    <row r="338" spans="1:12" hidden="1" outlineLevel="1" x14ac:dyDescent="0.35">
      <c r="A338" s="483"/>
      <c r="B338" s="760" t="s">
        <v>1999</v>
      </c>
      <c r="C338" s="731">
        <v>340</v>
      </c>
      <c r="D338" s="730" t="s">
        <v>1801</v>
      </c>
      <c r="E338" s="730"/>
      <c r="F338" s="731"/>
      <c r="G338" s="730"/>
      <c r="H338" s="730"/>
      <c r="I338" s="730"/>
      <c r="J338" s="732">
        <v>0.03</v>
      </c>
      <c r="K338" s="730"/>
      <c r="L338" s="733"/>
    </row>
    <row r="339" spans="1:12" hidden="1" outlineLevel="1" x14ac:dyDescent="0.35">
      <c r="A339" s="483"/>
      <c r="B339" s="760" t="s">
        <v>1999</v>
      </c>
      <c r="C339" s="731">
        <v>341</v>
      </c>
      <c r="D339" s="730" t="s">
        <v>1802</v>
      </c>
      <c r="E339" s="730"/>
      <c r="F339" s="731"/>
      <c r="G339" s="730"/>
      <c r="H339" s="730"/>
      <c r="I339" s="730"/>
      <c r="J339" s="732">
        <v>1.2500000000000001E-2</v>
      </c>
      <c r="K339" s="730"/>
      <c r="L339" s="733"/>
    </row>
    <row r="340" spans="1:12" hidden="1" outlineLevel="1" x14ac:dyDescent="0.35">
      <c r="A340" s="483"/>
      <c r="B340" s="760" t="s">
        <v>1999</v>
      </c>
      <c r="C340" s="731">
        <v>342</v>
      </c>
      <c r="D340" s="730" t="s">
        <v>1803</v>
      </c>
      <c r="E340" s="730"/>
      <c r="F340" s="731"/>
      <c r="G340" s="730"/>
      <c r="H340" s="730"/>
      <c r="I340" s="730"/>
      <c r="J340" s="732">
        <v>1.7500000000000002E-2</v>
      </c>
      <c r="K340" s="730"/>
      <c r="L340" s="733"/>
    </row>
    <row r="341" spans="1:12" hidden="1" outlineLevel="1" x14ac:dyDescent="0.35">
      <c r="A341" s="483"/>
      <c r="B341" s="760" t="s">
        <v>1999</v>
      </c>
      <c r="C341" s="731">
        <v>343</v>
      </c>
      <c r="D341" s="730" t="s">
        <v>2071</v>
      </c>
      <c r="E341" s="730"/>
      <c r="F341" s="731"/>
      <c r="G341" s="730"/>
      <c r="H341" s="730"/>
      <c r="I341" s="730"/>
      <c r="J341" s="732">
        <v>0.01</v>
      </c>
      <c r="K341" s="730" t="s">
        <v>2073</v>
      </c>
      <c r="L341" s="733"/>
    </row>
    <row r="342" spans="1:12" hidden="1" outlineLevel="1" x14ac:dyDescent="0.35">
      <c r="A342" s="483"/>
      <c r="B342" s="760" t="s">
        <v>1999</v>
      </c>
      <c r="C342" s="731" t="s">
        <v>168</v>
      </c>
      <c r="D342" s="730" t="s">
        <v>1804</v>
      </c>
      <c r="E342" s="730"/>
      <c r="F342" s="731"/>
      <c r="G342" s="730"/>
      <c r="H342" s="730"/>
      <c r="I342" s="730"/>
      <c r="J342" s="732">
        <v>0.01</v>
      </c>
      <c r="K342" s="730"/>
      <c r="L342" s="733"/>
    </row>
    <row r="343" spans="1:12" hidden="1" outlineLevel="1" x14ac:dyDescent="0.35">
      <c r="A343" s="483"/>
      <c r="B343" s="760" t="s">
        <v>1999</v>
      </c>
      <c r="C343" s="731" t="s">
        <v>170</v>
      </c>
      <c r="D343" s="730" t="s">
        <v>1805</v>
      </c>
      <c r="E343" s="730"/>
      <c r="F343" s="731"/>
      <c r="G343" s="730"/>
      <c r="H343" s="730"/>
      <c r="I343" s="730"/>
      <c r="J343" s="732">
        <v>1.7500000000000002E-2</v>
      </c>
      <c r="K343" s="730"/>
      <c r="L343" s="733"/>
    </row>
    <row r="344" spans="1:12" hidden="1" outlineLevel="1" x14ac:dyDescent="0.35">
      <c r="A344" s="483"/>
      <c r="B344" s="760" t="s">
        <v>1999</v>
      </c>
      <c r="C344" s="731" t="s">
        <v>1055</v>
      </c>
      <c r="D344" s="730" t="s">
        <v>2326</v>
      </c>
      <c r="E344" s="730"/>
      <c r="F344" s="731"/>
      <c r="G344" s="730"/>
      <c r="H344" s="730"/>
      <c r="I344" s="730"/>
      <c r="J344" s="732">
        <v>0.02</v>
      </c>
      <c r="K344" s="730"/>
      <c r="L344" s="733"/>
    </row>
    <row r="345" spans="1:12" hidden="1" outlineLevel="1" x14ac:dyDescent="0.35">
      <c r="A345" s="483"/>
      <c r="B345" s="760" t="s">
        <v>1999</v>
      </c>
      <c r="C345" s="731">
        <v>344</v>
      </c>
      <c r="D345" s="730" t="s">
        <v>1806</v>
      </c>
      <c r="E345" s="730"/>
      <c r="F345" s="731"/>
      <c r="G345" s="730"/>
      <c r="H345" s="730"/>
      <c r="I345" s="730"/>
      <c r="J345" s="732">
        <v>0.02</v>
      </c>
      <c r="K345" s="730"/>
      <c r="L345" s="733"/>
    </row>
    <row r="346" spans="1:12" hidden="1" outlineLevel="1" x14ac:dyDescent="0.35">
      <c r="A346" s="483"/>
      <c r="B346" s="760" t="s">
        <v>1999</v>
      </c>
      <c r="C346" s="731" t="s">
        <v>173</v>
      </c>
      <c r="D346" s="730" t="s">
        <v>1807</v>
      </c>
      <c r="E346" s="730"/>
      <c r="F346" s="731"/>
      <c r="G346" s="730"/>
      <c r="H346" s="730"/>
      <c r="I346" s="730"/>
      <c r="J346" s="732">
        <v>0.02</v>
      </c>
      <c r="K346" s="730"/>
      <c r="L346" s="733"/>
    </row>
    <row r="347" spans="1:12" hidden="1" outlineLevel="1" x14ac:dyDescent="0.35">
      <c r="A347" s="483"/>
      <c r="B347" s="760" t="s">
        <v>1999</v>
      </c>
      <c r="C347" s="731" t="s">
        <v>1057</v>
      </c>
      <c r="D347" s="730" t="s">
        <v>1808</v>
      </c>
      <c r="E347" s="730"/>
      <c r="F347" s="731"/>
      <c r="G347" s="730"/>
      <c r="H347" s="730"/>
      <c r="I347" s="730"/>
      <c r="J347" s="732">
        <v>0.02</v>
      </c>
      <c r="K347" s="730"/>
      <c r="L347" s="733"/>
    </row>
    <row r="348" spans="1:12" hidden="1" outlineLevel="1" x14ac:dyDescent="0.35">
      <c r="A348" s="483"/>
      <c r="B348" s="760" t="s">
        <v>1999</v>
      </c>
      <c r="C348" s="731">
        <v>3440</v>
      </c>
      <c r="D348" s="730" t="s">
        <v>1809</v>
      </c>
      <c r="E348" s="730"/>
      <c r="F348" s="731"/>
      <c r="G348" s="730"/>
      <c r="H348" s="730"/>
      <c r="I348" s="730"/>
      <c r="J348" s="732">
        <v>2.75E-2</v>
      </c>
      <c r="K348" s="730"/>
      <c r="L348" s="733"/>
    </row>
    <row r="349" spans="1:12" hidden="1" outlineLevel="1" x14ac:dyDescent="0.35">
      <c r="A349" s="483"/>
      <c r="B349" s="760" t="s">
        <v>1999</v>
      </c>
      <c r="C349" s="731">
        <v>345</v>
      </c>
      <c r="D349" s="730" t="s">
        <v>1810</v>
      </c>
      <c r="E349" s="730"/>
      <c r="F349" s="731"/>
      <c r="G349" s="730"/>
      <c r="H349" s="730"/>
      <c r="I349" s="730"/>
      <c r="J349" s="732">
        <v>0.08</v>
      </c>
      <c r="K349" s="730"/>
      <c r="L349" s="733"/>
    </row>
    <row r="350" spans="1:12" hidden="1" outlineLevel="1" x14ac:dyDescent="0.35">
      <c r="A350" s="483"/>
      <c r="B350" s="760" t="s">
        <v>1999</v>
      </c>
      <c r="C350" s="731">
        <v>346</v>
      </c>
      <c r="D350" s="730" t="s">
        <v>2072</v>
      </c>
      <c r="E350" s="730"/>
      <c r="F350" s="731"/>
      <c r="G350" s="730"/>
      <c r="H350" s="730"/>
      <c r="I350" s="730"/>
      <c r="J350" s="732">
        <v>1.7500000000000002E-2</v>
      </c>
      <c r="K350" s="730" t="s">
        <v>2073</v>
      </c>
      <c r="L350" s="733"/>
    </row>
    <row r="351" spans="1:12" hidden="1" outlineLevel="1" x14ac:dyDescent="0.35">
      <c r="A351" s="483"/>
      <c r="B351" s="760" t="s">
        <v>1999</v>
      </c>
      <c r="C351" s="731" t="s">
        <v>175</v>
      </c>
      <c r="D351" s="730" t="s">
        <v>1811</v>
      </c>
      <c r="E351" s="730"/>
      <c r="F351" s="731"/>
      <c r="G351" s="730"/>
      <c r="H351" s="730"/>
      <c r="I351" s="730"/>
      <c r="J351" s="732">
        <v>0</v>
      </c>
      <c r="K351" s="730"/>
      <c r="L351" s="733"/>
    </row>
    <row r="352" spans="1:12" hidden="1" outlineLevel="1" x14ac:dyDescent="0.35">
      <c r="A352" s="483"/>
      <c r="B352" s="760" t="s">
        <v>1999</v>
      </c>
      <c r="C352" s="731" t="s">
        <v>1061</v>
      </c>
      <c r="D352" s="730" t="s">
        <v>1812</v>
      </c>
      <c r="E352" s="730"/>
      <c r="F352" s="731"/>
      <c r="G352" s="730"/>
      <c r="H352" s="730"/>
      <c r="I352" s="730"/>
      <c r="J352" s="732">
        <v>0</v>
      </c>
      <c r="K352" s="730"/>
      <c r="L352" s="733"/>
    </row>
    <row r="353" spans="1:12" hidden="1" outlineLevel="1" x14ac:dyDescent="0.35">
      <c r="A353" s="483"/>
      <c r="B353" s="760" t="s">
        <v>1999</v>
      </c>
      <c r="C353" s="731" t="s">
        <v>1063</v>
      </c>
      <c r="D353" s="730" t="s">
        <v>2290</v>
      </c>
      <c r="E353" s="730"/>
      <c r="F353" s="731"/>
      <c r="G353" s="730"/>
      <c r="H353" s="730"/>
      <c r="I353" s="730"/>
      <c r="J353" s="732">
        <v>0</v>
      </c>
      <c r="K353" s="730"/>
      <c r="L353" s="733"/>
    </row>
    <row r="354" spans="1:12" hidden="1" outlineLevel="1" x14ac:dyDescent="0.35">
      <c r="A354" s="483"/>
      <c r="B354" s="760" t="s">
        <v>1999</v>
      </c>
      <c r="C354" s="731" t="s">
        <v>1065</v>
      </c>
      <c r="D354" s="730" t="s">
        <v>1813</v>
      </c>
      <c r="E354" s="730"/>
      <c r="F354" s="731"/>
      <c r="G354" s="730"/>
      <c r="H354" s="730"/>
      <c r="I354" s="730"/>
      <c r="J354" s="732">
        <v>0</v>
      </c>
      <c r="K354" s="730"/>
      <c r="L354" s="733"/>
    </row>
    <row r="355" spans="1:12" hidden="1" outlineLevel="1" x14ac:dyDescent="0.35">
      <c r="A355" s="483"/>
      <c r="B355" s="760" t="s">
        <v>1999</v>
      </c>
      <c r="C355" s="731">
        <v>348</v>
      </c>
      <c r="D355" s="730" t="s">
        <v>1814</v>
      </c>
      <c r="E355" s="730"/>
      <c r="F355" s="731"/>
      <c r="G355" s="730"/>
      <c r="H355" s="730"/>
      <c r="I355" s="730"/>
      <c r="J355" s="732">
        <v>0.01</v>
      </c>
      <c r="K355" s="730"/>
      <c r="L355" s="733"/>
    </row>
    <row r="356" spans="1:12" hidden="1" outlineLevel="1" x14ac:dyDescent="0.35">
      <c r="A356" s="483"/>
      <c r="B356" s="760" t="s">
        <v>1999</v>
      </c>
      <c r="C356" s="731">
        <v>3480</v>
      </c>
      <c r="D356" s="730" t="s">
        <v>2423</v>
      </c>
      <c r="E356" s="730"/>
      <c r="F356" s="731"/>
      <c r="G356" s="730"/>
      <c r="H356" s="730"/>
      <c r="I356" s="730"/>
      <c r="J356" s="732">
        <v>0.15</v>
      </c>
      <c r="K356" s="730"/>
      <c r="L356" s="733"/>
    </row>
    <row r="357" spans="1:12" hidden="1" outlineLevel="1" x14ac:dyDescent="0.35">
      <c r="A357" s="483"/>
      <c r="B357" s="760" t="s">
        <v>1999</v>
      </c>
      <c r="C357" s="731">
        <v>3481</v>
      </c>
      <c r="D357" s="730" t="s">
        <v>2311</v>
      </c>
      <c r="E357" s="730"/>
      <c r="F357" s="731"/>
      <c r="G357" s="730"/>
      <c r="H357" s="730"/>
      <c r="I357" s="730"/>
      <c r="J357" s="732">
        <v>0.05</v>
      </c>
      <c r="K357" s="730"/>
      <c r="L357" s="733"/>
    </row>
    <row r="358" spans="1:12" hidden="1" outlineLevel="1" x14ac:dyDescent="0.35">
      <c r="A358" s="483"/>
      <c r="B358" s="760" t="s">
        <v>1999</v>
      </c>
      <c r="C358" s="731">
        <v>3482</v>
      </c>
      <c r="D358" s="730" t="s">
        <v>2328</v>
      </c>
      <c r="E358" s="730"/>
      <c r="F358" s="731"/>
      <c r="G358" s="730"/>
      <c r="H358" s="730"/>
      <c r="I358" s="730"/>
      <c r="J358" s="732">
        <v>0.03</v>
      </c>
      <c r="K358" s="730"/>
      <c r="L358" s="733"/>
    </row>
    <row r="359" spans="1:12" hidden="1" outlineLevel="1" x14ac:dyDescent="0.35">
      <c r="A359" s="483"/>
      <c r="B359" s="760" t="s">
        <v>1999</v>
      </c>
      <c r="C359" s="731">
        <v>350</v>
      </c>
      <c r="D359" s="730" t="s">
        <v>2327</v>
      </c>
      <c r="E359" s="730"/>
      <c r="F359" s="731"/>
      <c r="G359" s="730"/>
      <c r="H359" s="730"/>
      <c r="I359" s="730"/>
      <c r="J359" s="732">
        <v>1.7500000000000002E-2</v>
      </c>
      <c r="K359" s="730"/>
      <c r="L359" s="733"/>
    </row>
    <row r="360" spans="1:12" hidden="1" outlineLevel="1" x14ac:dyDescent="0.35">
      <c r="A360" s="483"/>
      <c r="B360" s="760" t="s">
        <v>1999</v>
      </c>
      <c r="C360" s="731">
        <v>351</v>
      </c>
      <c r="D360" s="730" t="s">
        <v>1815</v>
      </c>
      <c r="E360" s="730"/>
      <c r="F360" s="731"/>
      <c r="G360" s="730"/>
      <c r="H360" s="730"/>
      <c r="I360" s="730"/>
      <c r="J360" s="732">
        <v>1.7500000000000002E-2</v>
      </c>
      <c r="K360" s="730"/>
      <c r="L360" s="733"/>
    </row>
    <row r="361" spans="1:12" hidden="1" outlineLevel="1" x14ac:dyDescent="0.35">
      <c r="A361" s="483"/>
      <c r="B361" s="760" t="s">
        <v>1999</v>
      </c>
      <c r="C361" s="731">
        <v>500</v>
      </c>
      <c r="D361" s="730" t="s">
        <v>2074</v>
      </c>
      <c r="E361" s="730"/>
      <c r="F361" s="731"/>
      <c r="G361" s="730"/>
      <c r="H361" s="730"/>
      <c r="I361" s="730"/>
      <c r="J361" s="732">
        <v>0.25</v>
      </c>
      <c r="K361" s="730"/>
      <c r="L361" s="733"/>
    </row>
    <row r="362" spans="1:12" hidden="1" outlineLevel="1" x14ac:dyDescent="0.35">
      <c r="A362" s="483"/>
      <c r="B362" s="760" t="s">
        <v>1999</v>
      </c>
      <c r="C362" s="731">
        <v>501</v>
      </c>
      <c r="D362" s="730" t="s">
        <v>2075</v>
      </c>
      <c r="E362" s="730"/>
      <c r="F362" s="731"/>
      <c r="G362" s="730"/>
      <c r="H362" s="730"/>
      <c r="I362" s="730"/>
      <c r="J362" s="732">
        <v>0.25</v>
      </c>
      <c r="K362" s="730"/>
      <c r="L362" s="733"/>
    </row>
    <row r="363" spans="1:12" hidden="1" outlineLevel="1" x14ac:dyDescent="0.35">
      <c r="A363" s="483"/>
      <c r="B363" s="760" t="s">
        <v>1999</v>
      </c>
      <c r="C363" s="731" t="s">
        <v>1067</v>
      </c>
      <c r="D363" s="730" t="s">
        <v>2076</v>
      </c>
      <c r="E363" s="730"/>
      <c r="F363" s="731"/>
      <c r="G363" s="730"/>
      <c r="H363" s="730"/>
      <c r="I363" s="730"/>
      <c r="J363" s="732">
        <v>0.25</v>
      </c>
      <c r="K363" s="730"/>
      <c r="L363" s="733"/>
    </row>
    <row r="364" spans="1:12" hidden="1" outlineLevel="1" x14ac:dyDescent="0.35">
      <c r="A364" s="483"/>
      <c r="B364" s="760" t="s">
        <v>1999</v>
      </c>
      <c r="C364" s="731">
        <v>503</v>
      </c>
      <c r="D364" s="730" t="s">
        <v>2077</v>
      </c>
      <c r="E364" s="730"/>
      <c r="F364" s="731"/>
      <c r="G364" s="730"/>
      <c r="H364" s="730"/>
      <c r="I364" s="730"/>
      <c r="J364" s="732">
        <v>0.25</v>
      </c>
      <c r="K364" s="730"/>
      <c r="L364" s="733"/>
    </row>
    <row r="365" spans="1:12" hidden="1" outlineLevel="1" x14ac:dyDescent="0.35">
      <c r="A365" s="483"/>
      <c r="B365" s="760" t="s">
        <v>1999</v>
      </c>
      <c r="C365" s="731">
        <v>504</v>
      </c>
      <c r="D365" s="730" t="s">
        <v>1816</v>
      </c>
      <c r="E365" s="730"/>
      <c r="F365" s="731"/>
      <c r="G365" s="730"/>
      <c r="H365" s="730"/>
      <c r="I365" s="730"/>
      <c r="J365" s="732">
        <v>0.25</v>
      </c>
      <c r="K365" s="730"/>
      <c r="L365" s="733"/>
    </row>
    <row r="366" spans="1:12" hidden="1" outlineLevel="1" x14ac:dyDescent="0.35">
      <c r="A366" s="483"/>
      <c r="B366" s="760" t="s">
        <v>1999</v>
      </c>
      <c r="C366" s="731" t="s">
        <v>180</v>
      </c>
      <c r="D366" s="730" t="s">
        <v>1817</v>
      </c>
      <c r="E366" s="730"/>
      <c r="F366" s="731"/>
      <c r="G366" s="730"/>
      <c r="H366" s="730"/>
      <c r="I366" s="730"/>
      <c r="J366" s="732">
        <v>0</v>
      </c>
      <c r="K366" s="730"/>
      <c r="L366" s="733"/>
    </row>
    <row r="367" spans="1:12" hidden="1" outlineLevel="1" x14ac:dyDescent="0.35">
      <c r="A367" s="483"/>
      <c r="B367" s="760" t="s">
        <v>1999</v>
      </c>
      <c r="C367" s="731" t="s">
        <v>182</v>
      </c>
      <c r="D367" s="730" t="s">
        <v>1818</v>
      </c>
      <c r="E367" s="730"/>
      <c r="F367" s="731"/>
      <c r="G367" s="730"/>
      <c r="H367" s="730"/>
      <c r="I367" s="730"/>
      <c r="J367" s="732">
        <v>0.37</v>
      </c>
      <c r="K367" s="730"/>
      <c r="L367" s="733"/>
    </row>
    <row r="368" spans="1:12" hidden="1" outlineLevel="1" x14ac:dyDescent="0.35">
      <c r="A368" s="483"/>
      <c r="B368" s="760" t="s">
        <v>1999</v>
      </c>
      <c r="C368" s="731" t="s">
        <v>183</v>
      </c>
      <c r="D368" s="730" t="s">
        <v>1819</v>
      </c>
      <c r="E368" s="730"/>
      <c r="F368" s="731"/>
      <c r="G368" s="730"/>
      <c r="H368" s="730"/>
      <c r="I368" s="730"/>
      <c r="J368" s="732">
        <v>0</v>
      </c>
      <c r="K368" s="730"/>
      <c r="L368" s="733"/>
    </row>
    <row r="369" spans="1:12" hidden="1" outlineLevel="1" x14ac:dyDescent="0.35">
      <c r="A369" s="483"/>
      <c r="B369" s="760" t="s">
        <v>1999</v>
      </c>
      <c r="C369" s="731" t="s">
        <v>184</v>
      </c>
      <c r="D369" s="730" t="s">
        <v>1820</v>
      </c>
      <c r="E369" s="730"/>
      <c r="F369" s="731"/>
      <c r="G369" s="730"/>
      <c r="H369" s="730"/>
      <c r="I369" s="730"/>
      <c r="J369" s="732">
        <v>0</v>
      </c>
      <c r="K369" s="730"/>
      <c r="L369" s="733"/>
    </row>
    <row r="370" spans="1:12" hidden="1" outlineLevel="1" x14ac:dyDescent="0.35">
      <c r="A370" s="483"/>
      <c r="B370" s="760" t="s">
        <v>1999</v>
      </c>
      <c r="C370" s="731" t="s">
        <v>185</v>
      </c>
      <c r="D370" s="730" t="s">
        <v>1821</v>
      </c>
      <c r="E370" s="730"/>
      <c r="F370" s="731"/>
      <c r="G370" s="730"/>
      <c r="H370" s="730"/>
      <c r="I370" s="730"/>
      <c r="J370" s="732">
        <v>0.22</v>
      </c>
      <c r="K370" s="730"/>
      <c r="L370" s="733"/>
    </row>
    <row r="371" spans="1:12" hidden="1" outlineLevel="1" x14ac:dyDescent="0.35">
      <c r="A371" s="483"/>
      <c r="B371" s="760" t="s">
        <v>1999</v>
      </c>
      <c r="C371" s="731" t="s">
        <v>186</v>
      </c>
      <c r="D371" s="730" t="s">
        <v>1822</v>
      </c>
      <c r="E371" s="730"/>
      <c r="F371" s="731"/>
      <c r="G371" s="730"/>
      <c r="H371" s="730"/>
      <c r="I371" s="730"/>
      <c r="J371" s="732">
        <v>0.28000000000000003</v>
      </c>
      <c r="K371" s="730"/>
      <c r="L371" s="733"/>
    </row>
    <row r="372" spans="1:12" hidden="1" outlineLevel="1" x14ac:dyDescent="0.35">
      <c r="A372" s="483"/>
      <c r="B372" s="760" t="s">
        <v>1999</v>
      </c>
      <c r="C372" s="731" t="s">
        <v>187</v>
      </c>
      <c r="D372" s="730" t="s">
        <v>1823</v>
      </c>
      <c r="E372" s="730"/>
      <c r="F372" s="731"/>
      <c r="G372" s="730"/>
      <c r="H372" s="730"/>
      <c r="I372" s="730"/>
      <c r="J372" s="732">
        <v>0.22</v>
      </c>
      <c r="K372" s="730"/>
      <c r="L372" s="733"/>
    </row>
    <row r="373" spans="1:12" hidden="1" outlineLevel="1" x14ac:dyDescent="0.35">
      <c r="A373" s="483"/>
      <c r="B373" s="760" t="s">
        <v>1999</v>
      </c>
      <c r="C373" s="731" t="s">
        <v>188</v>
      </c>
      <c r="D373" s="730" t="s">
        <v>1824</v>
      </c>
      <c r="E373" s="730"/>
      <c r="F373" s="731"/>
      <c r="G373" s="730"/>
      <c r="H373" s="730"/>
      <c r="I373" s="730"/>
      <c r="J373" s="732">
        <v>0.28000000000000003</v>
      </c>
      <c r="K373" s="730"/>
      <c r="L373" s="733"/>
    </row>
    <row r="374" spans="1:12" hidden="1" outlineLevel="1" x14ac:dyDescent="0.35">
      <c r="A374" s="483"/>
      <c r="B374" s="760" t="s">
        <v>1999</v>
      </c>
      <c r="C374" s="731" t="s">
        <v>1069</v>
      </c>
      <c r="D374" s="730" t="s">
        <v>1825</v>
      </c>
      <c r="E374" s="730"/>
      <c r="F374" s="731"/>
      <c r="G374" s="730"/>
      <c r="H374" s="730"/>
      <c r="I374" s="730"/>
      <c r="J374" s="732">
        <v>0.22</v>
      </c>
      <c r="K374" s="730"/>
      <c r="L374" s="733"/>
    </row>
    <row r="375" spans="1:12" hidden="1" outlineLevel="1" x14ac:dyDescent="0.35">
      <c r="A375" s="483"/>
      <c r="B375" s="760" t="s">
        <v>1999</v>
      </c>
      <c r="C375" s="731" t="s">
        <v>1071</v>
      </c>
      <c r="D375" s="730" t="s">
        <v>1826</v>
      </c>
      <c r="E375" s="730"/>
      <c r="F375" s="731"/>
      <c r="G375" s="730"/>
      <c r="H375" s="730"/>
      <c r="I375" s="730"/>
      <c r="J375" s="732">
        <v>0.28000000000000003</v>
      </c>
      <c r="K375" s="730"/>
      <c r="L375" s="733"/>
    </row>
    <row r="376" spans="1:12" hidden="1" outlineLevel="1" x14ac:dyDescent="0.35">
      <c r="A376" s="483"/>
      <c r="B376" s="760" t="s">
        <v>1999</v>
      </c>
      <c r="C376" s="731">
        <v>505</v>
      </c>
      <c r="D376" s="730" t="s">
        <v>2078</v>
      </c>
      <c r="E376" s="730"/>
      <c r="F376" s="731"/>
      <c r="G376" s="730"/>
      <c r="H376" s="730"/>
      <c r="I376" s="730"/>
      <c r="J376" s="732">
        <v>0.25</v>
      </c>
      <c r="K376" s="730"/>
      <c r="L376" s="733"/>
    </row>
    <row r="377" spans="1:12" hidden="1" outlineLevel="1" x14ac:dyDescent="0.35">
      <c r="A377" s="483"/>
      <c r="B377" s="760" t="s">
        <v>1999</v>
      </c>
      <c r="C377" s="731" t="s">
        <v>190</v>
      </c>
      <c r="D377" s="730" t="s">
        <v>1827</v>
      </c>
      <c r="E377" s="730"/>
      <c r="F377" s="731"/>
      <c r="G377" s="730"/>
      <c r="H377" s="730"/>
      <c r="I377" s="730"/>
      <c r="J377" s="732">
        <v>0.25</v>
      </c>
      <c r="K377" s="730"/>
      <c r="L377" s="733"/>
    </row>
    <row r="378" spans="1:12" hidden="1" outlineLevel="1" x14ac:dyDescent="0.35">
      <c r="A378" s="483"/>
      <c r="B378" s="760" t="s">
        <v>1999</v>
      </c>
      <c r="C378" s="731" t="s">
        <v>192</v>
      </c>
      <c r="D378" s="730" t="s">
        <v>1828</v>
      </c>
      <c r="E378" s="730"/>
      <c r="F378" s="731"/>
      <c r="G378" s="730"/>
      <c r="H378" s="730"/>
      <c r="I378" s="730"/>
      <c r="J378" s="732">
        <v>0.25</v>
      </c>
      <c r="K378" s="730"/>
      <c r="L378" s="733"/>
    </row>
    <row r="379" spans="1:12" hidden="1" outlineLevel="1" x14ac:dyDescent="0.35">
      <c r="A379" s="483"/>
      <c r="B379" s="760" t="s">
        <v>1999</v>
      </c>
      <c r="C379" s="731" t="s">
        <v>194</v>
      </c>
      <c r="D379" s="730" t="s">
        <v>1829</v>
      </c>
      <c r="E379" s="730"/>
      <c r="F379" s="731"/>
      <c r="G379" s="730"/>
      <c r="H379" s="730"/>
      <c r="I379" s="730"/>
      <c r="J379" s="732">
        <v>0.25</v>
      </c>
      <c r="K379" s="730"/>
      <c r="L379" s="733"/>
    </row>
    <row r="380" spans="1:12" hidden="1" outlineLevel="1" x14ac:dyDescent="0.35">
      <c r="A380" s="483"/>
      <c r="B380" s="760" t="s">
        <v>1999</v>
      </c>
      <c r="C380" s="731" t="s">
        <v>196</v>
      </c>
      <c r="D380" s="730" t="s">
        <v>1830</v>
      </c>
      <c r="E380" s="730"/>
      <c r="F380" s="731"/>
      <c r="G380" s="730"/>
      <c r="H380" s="730"/>
      <c r="I380" s="730"/>
      <c r="J380" s="732">
        <v>0.25</v>
      </c>
      <c r="K380" s="730"/>
      <c r="L380" s="733"/>
    </row>
    <row r="381" spans="1:12" hidden="1" outlineLevel="1" x14ac:dyDescent="0.35">
      <c r="A381" s="483"/>
      <c r="B381" s="760" t="s">
        <v>1999</v>
      </c>
      <c r="C381" s="731" t="s">
        <v>198</v>
      </c>
      <c r="D381" s="730" t="s">
        <v>1831</v>
      </c>
      <c r="E381" s="730"/>
      <c r="F381" s="731"/>
      <c r="G381" s="730"/>
      <c r="H381" s="730"/>
      <c r="I381" s="730"/>
      <c r="J381" s="732">
        <v>0.25</v>
      </c>
      <c r="K381" s="730"/>
      <c r="L381" s="733"/>
    </row>
    <row r="382" spans="1:12" hidden="1" outlineLevel="1" x14ac:dyDescent="0.35">
      <c r="A382" s="483"/>
      <c r="B382" s="760" t="s">
        <v>1999</v>
      </c>
      <c r="C382" s="731" t="s">
        <v>200</v>
      </c>
      <c r="D382" s="730" t="s">
        <v>2291</v>
      </c>
      <c r="E382" s="730"/>
      <c r="F382" s="731"/>
      <c r="G382" s="730"/>
      <c r="H382" s="730"/>
      <c r="I382" s="730"/>
      <c r="J382" s="732">
        <v>0.25</v>
      </c>
      <c r="K382" s="730"/>
      <c r="L382" s="733"/>
    </row>
    <row r="383" spans="1:12" hidden="1" outlineLevel="1" x14ac:dyDescent="0.35">
      <c r="A383" s="483"/>
      <c r="B383" s="760" t="s">
        <v>1999</v>
      </c>
      <c r="C383" s="731">
        <v>509</v>
      </c>
      <c r="D383" s="730" t="s">
        <v>2292</v>
      </c>
      <c r="E383" s="730"/>
      <c r="F383" s="731"/>
      <c r="G383" s="730"/>
      <c r="H383" s="730"/>
      <c r="I383" s="730"/>
      <c r="J383" s="732">
        <v>0.25</v>
      </c>
      <c r="K383" s="730"/>
      <c r="L383" s="733"/>
    </row>
    <row r="384" spans="1:12" hidden="1" outlineLevel="1" x14ac:dyDescent="0.35">
      <c r="A384" s="483"/>
      <c r="B384" s="760" t="s">
        <v>1999</v>
      </c>
      <c r="C384" s="731" t="s">
        <v>203</v>
      </c>
      <c r="D384" s="730" t="s">
        <v>2293</v>
      </c>
      <c r="E384" s="730"/>
      <c r="F384" s="731"/>
      <c r="G384" s="730"/>
      <c r="H384" s="730"/>
      <c r="I384" s="730"/>
      <c r="J384" s="732">
        <v>0.25</v>
      </c>
      <c r="K384" s="730"/>
      <c r="L384" s="733"/>
    </row>
    <row r="385" spans="1:12" hidden="1" outlineLevel="1" x14ac:dyDescent="0.35">
      <c r="A385" s="483"/>
      <c r="B385" s="760" t="s">
        <v>1999</v>
      </c>
      <c r="C385" s="731">
        <v>510</v>
      </c>
      <c r="D385" s="730" t="s">
        <v>2294</v>
      </c>
      <c r="E385" s="730"/>
      <c r="F385" s="731"/>
      <c r="G385" s="730"/>
      <c r="H385" s="730"/>
      <c r="I385" s="730"/>
      <c r="J385" s="732">
        <v>0.25</v>
      </c>
      <c r="K385" s="730"/>
      <c r="L385" s="733"/>
    </row>
    <row r="386" spans="1:12" hidden="1" outlineLevel="1" x14ac:dyDescent="0.35">
      <c r="A386" s="483"/>
      <c r="B386" s="760" t="s">
        <v>1999</v>
      </c>
      <c r="C386" s="731">
        <v>511</v>
      </c>
      <c r="D386" s="730" t="s">
        <v>2295</v>
      </c>
      <c r="E386" s="730"/>
      <c r="F386" s="731"/>
      <c r="G386" s="730"/>
      <c r="H386" s="730"/>
      <c r="I386" s="730"/>
      <c r="J386" s="732">
        <v>0.25</v>
      </c>
      <c r="K386" s="730"/>
      <c r="L386" s="733"/>
    </row>
    <row r="387" spans="1:12" hidden="1" outlineLevel="1" x14ac:dyDescent="0.35">
      <c r="A387" s="483"/>
      <c r="B387" s="760" t="s">
        <v>1999</v>
      </c>
      <c r="C387" s="731">
        <v>512</v>
      </c>
      <c r="D387" s="730" t="s">
        <v>2296</v>
      </c>
      <c r="E387" s="730"/>
      <c r="F387" s="731"/>
      <c r="G387" s="730"/>
      <c r="H387" s="730"/>
      <c r="I387" s="730"/>
      <c r="J387" s="732">
        <v>0.25</v>
      </c>
      <c r="K387" s="730"/>
      <c r="L387" s="733"/>
    </row>
    <row r="388" spans="1:12" hidden="1" outlineLevel="1" x14ac:dyDescent="0.35">
      <c r="A388" s="483"/>
      <c r="B388" s="760" t="s">
        <v>1999</v>
      </c>
      <c r="C388" s="731">
        <v>513</v>
      </c>
      <c r="D388" s="730" t="s">
        <v>2297</v>
      </c>
      <c r="E388" s="730"/>
      <c r="F388" s="731"/>
      <c r="G388" s="730"/>
      <c r="H388" s="730"/>
      <c r="I388" s="730"/>
      <c r="J388" s="732">
        <v>0.25</v>
      </c>
      <c r="K388" s="730"/>
      <c r="L388" s="733"/>
    </row>
    <row r="389" spans="1:12" hidden="1" outlineLevel="1" x14ac:dyDescent="0.35">
      <c r="A389" s="483"/>
      <c r="B389" s="760" t="s">
        <v>1999</v>
      </c>
      <c r="C389" s="731" t="s">
        <v>209</v>
      </c>
      <c r="D389" s="730" t="s">
        <v>2298</v>
      </c>
      <c r="E389" s="730"/>
      <c r="F389" s="731"/>
      <c r="G389" s="730"/>
      <c r="H389" s="730"/>
      <c r="I389" s="730"/>
      <c r="J389" s="732">
        <v>0.25</v>
      </c>
      <c r="K389" s="730"/>
      <c r="L389" s="733"/>
    </row>
    <row r="390" spans="1:12" hidden="1" outlineLevel="1" x14ac:dyDescent="0.35">
      <c r="A390" s="483"/>
      <c r="B390" s="760" t="s">
        <v>1999</v>
      </c>
      <c r="C390" s="731">
        <v>514</v>
      </c>
      <c r="D390" s="730" t="s">
        <v>2299</v>
      </c>
      <c r="E390" s="730"/>
      <c r="F390" s="731"/>
      <c r="G390" s="730"/>
      <c r="H390" s="730"/>
      <c r="I390" s="730"/>
      <c r="J390" s="732">
        <v>0.25</v>
      </c>
      <c r="K390" s="730"/>
      <c r="L390" s="733"/>
    </row>
    <row r="391" spans="1:12" hidden="1" outlineLevel="1" x14ac:dyDescent="0.35">
      <c r="A391" s="483"/>
      <c r="B391" s="760" t="s">
        <v>1999</v>
      </c>
      <c r="C391" s="731">
        <v>515</v>
      </c>
      <c r="D391" s="730" t="s">
        <v>2300</v>
      </c>
      <c r="E391" s="730"/>
      <c r="F391" s="731"/>
      <c r="G391" s="730"/>
      <c r="H391" s="730"/>
      <c r="I391" s="730"/>
      <c r="J391" s="732">
        <v>0.25</v>
      </c>
      <c r="K391" s="730"/>
      <c r="L391" s="733"/>
    </row>
    <row r="392" spans="1:12" hidden="1" outlineLevel="1" x14ac:dyDescent="0.35">
      <c r="A392" s="483"/>
      <c r="B392" s="760" t="s">
        <v>1999</v>
      </c>
      <c r="C392" s="731">
        <v>516</v>
      </c>
      <c r="D392" s="730" t="s">
        <v>2301</v>
      </c>
      <c r="E392" s="730"/>
      <c r="F392" s="731"/>
      <c r="G392" s="730"/>
      <c r="H392" s="730"/>
      <c r="I392" s="730"/>
      <c r="J392" s="732">
        <v>0.25</v>
      </c>
      <c r="K392" s="730"/>
      <c r="L392" s="733"/>
    </row>
    <row r="393" spans="1:12" hidden="1" outlineLevel="1" x14ac:dyDescent="0.35">
      <c r="A393" s="483"/>
      <c r="B393" s="760" t="s">
        <v>1999</v>
      </c>
      <c r="C393" s="731">
        <v>517</v>
      </c>
      <c r="D393" s="730" t="s">
        <v>2302</v>
      </c>
      <c r="E393" s="730"/>
      <c r="F393" s="731"/>
      <c r="G393" s="730"/>
      <c r="H393" s="730"/>
      <c r="I393" s="730"/>
      <c r="J393" s="732">
        <v>0.25</v>
      </c>
      <c r="K393" s="730"/>
      <c r="L393" s="733"/>
    </row>
    <row r="394" spans="1:12" hidden="1" outlineLevel="1" x14ac:dyDescent="0.35">
      <c r="A394" s="483"/>
      <c r="B394" s="760" t="s">
        <v>1999</v>
      </c>
      <c r="C394" s="731">
        <v>518</v>
      </c>
      <c r="D394" s="730" t="s">
        <v>2303</v>
      </c>
      <c r="E394" s="730"/>
      <c r="F394" s="731"/>
      <c r="G394" s="730"/>
      <c r="H394" s="730"/>
      <c r="I394" s="730"/>
      <c r="J394" s="732">
        <v>0.25</v>
      </c>
      <c r="K394" s="730"/>
      <c r="L394" s="733"/>
    </row>
    <row r="395" spans="1:12" hidden="1" outlineLevel="1" x14ac:dyDescent="0.35">
      <c r="A395" s="483"/>
      <c r="B395" s="760" t="s">
        <v>1999</v>
      </c>
      <c r="C395" s="731">
        <v>519</v>
      </c>
      <c r="D395" s="730" t="s">
        <v>2304</v>
      </c>
      <c r="E395" s="730"/>
      <c r="F395" s="731"/>
      <c r="G395" s="730"/>
      <c r="H395" s="730"/>
      <c r="I395" s="730"/>
      <c r="J395" s="732">
        <v>0.25</v>
      </c>
      <c r="K395" s="730"/>
      <c r="L395" s="733"/>
    </row>
    <row r="396" spans="1:12" hidden="1" outlineLevel="1" x14ac:dyDescent="0.35">
      <c r="A396" s="483"/>
      <c r="B396" s="760" t="s">
        <v>1999</v>
      </c>
      <c r="C396" s="731" t="s">
        <v>217</v>
      </c>
      <c r="D396" s="730" t="s">
        <v>2305</v>
      </c>
      <c r="E396" s="730"/>
      <c r="F396" s="731"/>
      <c r="G396" s="730"/>
      <c r="H396" s="730"/>
      <c r="I396" s="730"/>
      <c r="J396" s="732">
        <v>0.25</v>
      </c>
      <c r="K396" s="730"/>
      <c r="L396" s="733"/>
    </row>
    <row r="397" spans="1:12" hidden="1" outlineLevel="1" x14ac:dyDescent="0.35">
      <c r="A397" s="483"/>
      <c r="B397" s="760" t="s">
        <v>1999</v>
      </c>
      <c r="C397" s="731" t="s">
        <v>219</v>
      </c>
      <c r="D397" s="730" t="s">
        <v>2306</v>
      </c>
      <c r="E397" s="730"/>
      <c r="F397" s="731"/>
      <c r="G397" s="730"/>
      <c r="H397" s="730"/>
      <c r="I397" s="730"/>
      <c r="J397" s="732">
        <v>0.25</v>
      </c>
      <c r="K397" s="730"/>
      <c r="L397" s="733"/>
    </row>
    <row r="398" spans="1:12" hidden="1" outlineLevel="1" x14ac:dyDescent="0.35">
      <c r="A398" s="483"/>
      <c r="B398" s="760" t="s">
        <v>1999</v>
      </c>
      <c r="C398" s="731" t="s">
        <v>221</v>
      </c>
      <c r="D398" s="730" t="s">
        <v>2307</v>
      </c>
      <c r="E398" s="730"/>
      <c r="F398" s="731"/>
      <c r="G398" s="730"/>
      <c r="H398" s="730"/>
      <c r="I398" s="730"/>
      <c r="J398" s="732">
        <v>0.25</v>
      </c>
      <c r="K398" s="730"/>
      <c r="L398" s="733"/>
    </row>
    <row r="399" spans="1:12" hidden="1" outlineLevel="1" x14ac:dyDescent="0.35">
      <c r="A399" s="483"/>
      <c r="B399" s="760" t="s">
        <v>1999</v>
      </c>
      <c r="C399" s="731" t="s">
        <v>223</v>
      </c>
      <c r="D399" s="730" t="s">
        <v>1832</v>
      </c>
      <c r="E399" s="730"/>
      <c r="F399" s="731"/>
      <c r="G399" s="730"/>
      <c r="H399" s="730"/>
      <c r="I399" s="730"/>
      <c r="J399" s="732">
        <v>0</v>
      </c>
      <c r="K399" s="730"/>
      <c r="L399" s="733"/>
    </row>
    <row r="400" spans="1:12" hidden="1" outlineLevel="1" x14ac:dyDescent="0.35">
      <c r="A400" s="483"/>
      <c r="B400" s="760" t="s">
        <v>1999</v>
      </c>
      <c r="C400" s="731" t="s">
        <v>225</v>
      </c>
      <c r="D400" s="730" t="s">
        <v>2308</v>
      </c>
      <c r="E400" s="730"/>
      <c r="F400" s="731"/>
      <c r="G400" s="730"/>
      <c r="H400" s="730"/>
      <c r="I400" s="730"/>
      <c r="J400" s="732">
        <v>0.25</v>
      </c>
      <c r="K400" s="730"/>
      <c r="L400" s="733"/>
    </row>
    <row r="401" spans="1:19" hidden="1" outlineLevel="1" x14ac:dyDescent="0.35">
      <c r="A401" s="483"/>
      <c r="B401" s="760" t="s">
        <v>1999</v>
      </c>
      <c r="C401" s="731" t="s">
        <v>227</v>
      </c>
      <c r="D401" s="730" t="s">
        <v>2309</v>
      </c>
      <c r="E401" s="730"/>
      <c r="F401" s="731"/>
      <c r="G401" s="730"/>
      <c r="H401" s="730"/>
      <c r="I401" s="730"/>
      <c r="J401" s="732">
        <v>0.25</v>
      </c>
      <c r="K401" s="730"/>
      <c r="L401" s="733"/>
    </row>
    <row r="402" spans="1:19" hidden="1" outlineLevel="1" x14ac:dyDescent="0.35">
      <c r="A402" s="483"/>
      <c r="B402" s="760" t="s">
        <v>1999</v>
      </c>
      <c r="C402" s="731">
        <v>521</v>
      </c>
      <c r="D402" s="730" t="s">
        <v>1833</v>
      </c>
      <c r="E402" s="730"/>
      <c r="F402" s="731"/>
      <c r="G402" s="730"/>
      <c r="H402" s="730"/>
      <c r="I402" s="730"/>
      <c r="J402" s="732">
        <v>0.1</v>
      </c>
      <c r="K402" s="730"/>
      <c r="L402" s="733"/>
    </row>
    <row r="403" spans="1:19" hidden="1" outlineLevel="1" x14ac:dyDescent="0.35">
      <c r="A403" s="483"/>
      <c r="B403" s="760" t="s">
        <v>1999</v>
      </c>
      <c r="C403" s="731" t="s">
        <v>230</v>
      </c>
      <c r="D403" s="730" t="s">
        <v>2079</v>
      </c>
      <c r="E403" s="730"/>
      <c r="F403" s="731"/>
      <c r="G403" s="730"/>
      <c r="H403" s="730"/>
      <c r="I403" s="730"/>
      <c r="J403" s="732">
        <v>0</v>
      </c>
      <c r="K403" s="730"/>
      <c r="L403" s="733"/>
    </row>
    <row r="404" spans="1:19" hidden="1" outlineLevel="1" x14ac:dyDescent="0.35">
      <c r="A404" s="483"/>
      <c r="B404" s="760" t="s">
        <v>1999</v>
      </c>
      <c r="C404" s="731">
        <v>524</v>
      </c>
      <c r="D404" s="730" t="s">
        <v>1834</v>
      </c>
      <c r="E404" s="730"/>
      <c r="F404" s="731"/>
      <c r="G404" s="730"/>
      <c r="H404" s="730"/>
      <c r="I404" s="730"/>
      <c r="J404" s="732">
        <v>0</v>
      </c>
      <c r="K404" s="730"/>
      <c r="L404" s="733"/>
    </row>
    <row r="405" spans="1:19" hidden="1" outlineLevel="1" x14ac:dyDescent="0.35">
      <c r="A405" s="483"/>
      <c r="B405" s="760" t="s">
        <v>1999</v>
      </c>
      <c r="C405" s="731">
        <v>525</v>
      </c>
      <c r="D405" s="730" t="s">
        <v>1835</v>
      </c>
      <c r="E405" s="730"/>
      <c r="F405" s="731"/>
      <c r="G405" s="730"/>
      <c r="H405" s="730"/>
      <c r="I405" s="730"/>
      <c r="J405" s="732">
        <v>0</v>
      </c>
      <c r="K405" s="730"/>
      <c r="L405" s="733"/>
    </row>
    <row r="406" spans="1:19" ht="15" hidden="1" outlineLevel="1" thickBot="1" x14ac:dyDescent="0.4">
      <c r="A406" s="483"/>
      <c r="B406" s="761"/>
      <c r="C406" s="671"/>
      <c r="D406" s="670"/>
      <c r="E406" s="670"/>
      <c r="F406" s="671"/>
      <c r="G406" s="670"/>
      <c r="H406" s="670"/>
      <c r="I406" s="670"/>
      <c r="J406" s="728"/>
      <c r="K406" s="670"/>
      <c r="L406" s="711"/>
    </row>
    <row r="407" spans="1:19" ht="15.5" collapsed="1" thickTop="1" thickBot="1" x14ac:dyDescent="0.4">
      <c r="B407" s="2"/>
    </row>
    <row r="408" spans="1:19" ht="23" thickBot="1" x14ac:dyDescent="0.4">
      <c r="B408" s="524"/>
      <c r="C408" s="525" t="s">
        <v>233</v>
      </c>
      <c r="D408" s="525"/>
      <c r="E408" s="525"/>
      <c r="F408" s="525"/>
      <c r="G408" s="525"/>
      <c r="H408" s="525"/>
      <c r="I408" s="525"/>
      <c r="J408" s="525"/>
      <c r="K408" s="527"/>
      <c r="L408" s="526"/>
    </row>
    <row r="409" spans="1:19" s="2" customFormat="1" ht="15.5" hidden="1" outlineLevel="1" thickTop="1" thickBot="1" x14ac:dyDescent="0.4">
      <c r="B409" s="721"/>
      <c r="C409" s="719" t="s">
        <v>79</v>
      </c>
      <c r="D409" s="719"/>
      <c r="E409" s="719"/>
      <c r="F409" s="719"/>
      <c r="G409" s="719"/>
      <c r="H409" s="719"/>
      <c r="I409" s="719"/>
      <c r="J409" s="719"/>
      <c r="K409" s="719"/>
      <c r="L409" s="720"/>
      <c r="M409" s="385"/>
      <c r="S409" s="783"/>
    </row>
    <row r="410" spans="1:19" ht="15" hidden="1" outlineLevel="1" thickTop="1" x14ac:dyDescent="0.35">
      <c r="A410" s="483"/>
      <c r="B410" s="759" t="s">
        <v>2000</v>
      </c>
      <c r="C410" s="757" t="s">
        <v>234</v>
      </c>
      <c r="D410" s="664"/>
      <c r="E410" s="664"/>
      <c r="F410" s="665"/>
      <c r="G410" s="664"/>
      <c r="H410" s="664"/>
      <c r="I410" s="664"/>
      <c r="J410" s="727"/>
      <c r="K410" s="664"/>
      <c r="L410" s="666"/>
    </row>
    <row r="411" spans="1:19" hidden="1" outlineLevel="1" x14ac:dyDescent="0.35">
      <c r="A411" s="483"/>
      <c r="B411" s="762" t="s">
        <v>2000</v>
      </c>
      <c r="C411" s="664" t="s">
        <v>235</v>
      </c>
      <c r="D411" s="664"/>
      <c r="E411" s="664"/>
      <c r="F411" s="665"/>
      <c r="G411" s="664"/>
      <c r="H411" s="664"/>
      <c r="I411" s="664"/>
      <c r="J411" s="727"/>
      <c r="K411" s="664"/>
      <c r="L411" s="666"/>
    </row>
    <row r="412" spans="1:19" hidden="1" outlineLevel="1" x14ac:dyDescent="0.35">
      <c r="A412" s="483"/>
      <c r="B412" s="762" t="s">
        <v>2000</v>
      </c>
      <c r="C412" s="664" t="s">
        <v>236</v>
      </c>
      <c r="D412" s="664"/>
      <c r="E412" s="664"/>
      <c r="F412" s="665"/>
      <c r="G412" s="664"/>
      <c r="H412" s="664"/>
      <c r="I412" s="664"/>
      <c r="J412" s="727"/>
      <c r="K412" s="664"/>
      <c r="L412" s="666"/>
    </row>
    <row r="413" spans="1:19" hidden="1" outlineLevel="1" x14ac:dyDescent="0.35">
      <c r="A413" s="483"/>
      <c r="B413" s="762" t="s">
        <v>2000</v>
      </c>
      <c r="C413" s="664" t="s">
        <v>237</v>
      </c>
      <c r="D413" s="664"/>
      <c r="E413" s="664"/>
      <c r="F413" s="665"/>
      <c r="G413" s="664"/>
      <c r="H413" s="664"/>
      <c r="I413" s="664"/>
      <c r="J413" s="727"/>
      <c r="K413" s="664"/>
      <c r="L413" s="666"/>
    </row>
    <row r="414" spans="1:19" hidden="1" outlineLevel="1" x14ac:dyDescent="0.35">
      <c r="A414" s="483"/>
      <c r="B414" s="762" t="s">
        <v>2000</v>
      </c>
      <c r="C414" s="664" t="s">
        <v>238</v>
      </c>
      <c r="D414" s="664"/>
      <c r="E414" s="664"/>
      <c r="F414" s="665"/>
      <c r="G414" s="664"/>
      <c r="H414" s="664"/>
      <c r="I414" s="664"/>
      <c r="J414" s="727"/>
      <c r="K414" s="664"/>
      <c r="L414" s="666"/>
    </row>
    <row r="415" spans="1:19" hidden="1" outlineLevel="1" x14ac:dyDescent="0.35">
      <c r="A415" s="483"/>
      <c r="B415" s="762" t="s">
        <v>2000</v>
      </c>
      <c r="C415" s="664" t="s">
        <v>239</v>
      </c>
      <c r="D415" s="664"/>
      <c r="E415" s="664"/>
      <c r="F415" s="665"/>
      <c r="G415" s="664"/>
      <c r="H415" s="664"/>
      <c r="I415" s="664"/>
      <c r="J415" s="727"/>
      <c r="K415" s="664"/>
      <c r="L415" s="666"/>
    </row>
    <row r="416" spans="1:19" hidden="1" outlineLevel="1" x14ac:dyDescent="0.35">
      <c r="A416" s="483"/>
      <c r="B416" s="762" t="s">
        <v>2000</v>
      </c>
      <c r="C416" s="664" t="s">
        <v>240</v>
      </c>
      <c r="D416" s="664"/>
      <c r="E416" s="664"/>
      <c r="F416" s="665"/>
      <c r="G416" s="664"/>
      <c r="H416" s="664"/>
      <c r="I416" s="664"/>
      <c r="J416" s="727"/>
      <c r="K416" s="664"/>
      <c r="L416" s="666"/>
    </row>
    <row r="417" spans="1:12" hidden="1" outlineLevel="1" x14ac:dyDescent="0.35">
      <c r="A417" s="483"/>
      <c r="B417" s="762" t="s">
        <v>2000</v>
      </c>
      <c r="C417" s="664" t="s">
        <v>241</v>
      </c>
      <c r="D417" s="664"/>
      <c r="E417" s="664"/>
      <c r="F417" s="665"/>
      <c r="G417" s="664"/>
      <c r="H417" s="664"/>
      <c r="I417" s="664"/>
      <c r="J417" s="727"/>
      <c r="K417" s="664"/>
      <c r="L417" s="666"/>
    </row>
    <row r="418" spans="1:12" hidden="1" outlineLevel="1" x14ac:dyDescent="0.35">
      <c r="A418" s="483"/>
      <c r="B418" s="762" t="s">
        <v>2000</v>
      </c>
      <c r="C418" s="664" t="s">
        <v>242</v>
      </c>
      <c r="D418" s="664"/>
      <c r="E418" s="664"/>
      <c r="F418" s="665"/>
      <c r="G418" s="664"/>
      <c r="H418" s="664"/>
      <c r="I418" s="664"/>
      <c r="J418" s="727"/>
      <c r="K418" s="664"/>
      <c r="L418" s="666"/>
    </row>
    <row r="419" spans="1:12" hidden="1" outlineLevel="1" x14ac:dyDescent="0.35">
      <c r="A419" s="483"/>
      <c r="B419" s="762" t="s">
        <v>2000</v>
      </c>
      <c r="C419" s="664" t="s">
        <v>243</v>
      </c>
      <c r="D419" s="664"/>
      <c r="E419" s="664"/>
      <c r="F419" s="665"/>
      <c r="G419" s="664"/>
      <c r="H419" s="664"/>
      <c r="I419" s="664"/>
      <c r="J419" s="727"/>
      <c r="K419" s="664"/>
      <c r="L419" s="666"/>
    </row>
    <row r="420" spans="1:12" hidden="1" outlineLevel="1" x14ac:dyDescent="0.35">
      <c r="A420" s="483"/>
      <c r="B420" s="762" t="s">
        <v>2000</v>
      </c>
      <c r="C420" s="664" t="s">
        <v>244</v>
      </c>
      <c r="D420" s="664"/>
      <c r="E420" s="664"/>
      <c r="F420" s="665"/>
      <c r="G420" s="664"/>
      <c r="H420" s="664"/>
      <c r="I420" s="664"/>
      <c r="J420" s="727"/>
      <c r="K420" s="664"/>
      <c r="L420" s="666"/>
    </row>
    <row r="421" spans="1:12" hidden="1" outlineLevel="1" x14ac:dyDescent="0.35">
      <c r="A421" s="483"/>
      <c r="B421" s="762" t="s">
        <v>2000</v>
      </c>
      <c r="C421" s="664" t="s">
        <v>245</v>
      </c>
      <c r="D421" s="664"/>
      <c r="E421" s="664"/>
      <c r="F421" s="665"/>
      <c r="G421" s="664"/>
      <c r="H421" s="664"/>
      <c r="I421" s="664"/>
      <c r="J421" s="727"/>
      <c r="K421" s="664"/>
      <c r="L421" s="666"/>
    </row>
    <row r="422" spans="1:12" hidden="1" outlineLevel="1" x14ac:dyDescent="0.35">
      <c r="A422" s="483"/>
      <c r="B422" s="762" t="s">
        <v>2000</v>
      </c>
      <c r="C422" s="664" t="s">
        <v>246</v>
      </c>
      <c r="D422" s="664"/>
      <c r="E422" s="664"/>
      <c r="F422" s="665"/>
      <c r="G422" s="664"/>
      <c r="H422" s="664"/>
      <c r="I422" s="664"/>
      <c r="J422" s="727"/>
      <c r="K422" s="664"/>
      <c r="L422" s="666"/>
    </row>
    <row r="423" spans="1:12" hidden="1" outlineLevel="1" x14ac:dyDescent="0.35">
      <c r="A423" s="483"/>
      <c r="B423" s="762" t="s">
        <v>2000</v>
      </c>
      <c r="C423" s="664" t="s">
        <v>247</v>
      </c>
      <c r="D423" s="664"/>
      <c r="E423" s="664"/>
      <c r="F423" s="665"/>
      <c r="G423" s="664"/>
      <c r="H423" s="664"/>
      <c r="I423" s="664"/>
      <c r="J423" s="727"/>
      <c r="K423" s="664"/>
      <c r="L423" s="666"/>
    </row>
    <row r="424" spans="1:12" hidden="1" outlineLevel="1" x14ac:dyDescent="0.35">
      <c r="A424" s="483"/>
      <c r="B424" s="762" t="s">
        <v>2000</v>
      </c>
      <c r="C424" s="664" t="s">
        <v>248</v>
      </c>
      <c r="D424" s="664"/>
      <c r="E424" s="664"/>
      <c r="F424" s="665"/>
      <c r="G424" s="664"/>
      <c r="H424" s="664"/>
      <c r="I424" s="664"/>
      <c r="J424" s="727"/>
      <c r="K424" s="664"/>
      <c r="L424" s="666"/>
    </row>
    <row r="425" spans="1:12" hidden="1" outlineLevel="1" x14ac:dyDescent="0.35">
      <c r="A425" s="483"/>
      <c r="B425" s="762" t="s">
        <v>2000</v>
      </c>
      <c r="C425" s="664" t="s">
        <v>249</v>
      </c>
      <c r="D425" s="664"/>
      <c r="E425" s="664"/>
      <c r="F425" s="665"/>
      <c r="G425" s="664"/>
      <c r="H425" s="664"/>
      <c r="I425" s="664"/>
      <c r="J425" s="727"/>
      <c r="K425" s="664"/>
      <c r="L425" s="666"/>
    </row>
    <row r="426" spans="1:12" hidden="1" outlineLevel="1" x14ac:dyDescent="0.35">
      <c r="A426" s="483"/>
      <c r="B426" s="762" t="s">
        <v>2000</v>
      </c>
      <c r="C426" s="664" t="s">
        <v>250</v>
      </c>
      <c r="D426" s="664"/>
      <c r="E426" s="664"/>
      <c r="F426" s="665"/>
      <c r="G426" s="664"/>
      <c r="H426" s="664"/>
      <c r="I426" s="664"/>
      <c r="J426" s="727"/>
      <c r="K426" s="664"/>
      <c r="L426" s="666"/>
    </row>
    <row r="427" spans="1:12" hidden="1" outlineLevel="1" x14ac:dyDescent="0.35">
      <c r="A427" s="483"/>
      <c r="B427" s="762" t="s">
        <v>2000</v>
      </c>
      <c r="C427" s="664" t="s">
        <v>251</v>
      </c>
      <c r="D427" s="664"/>
      <c r="E427" s="664"/>
      <c r="F427" s="665"/>
      <c r="G427" s="664"/>
      <c r="H427" s="664"/>
      <c r="I427" s="664"/>
      <c r="J427" s="727"/>
      <c r="K427" s="664"/>
      <c r="L427" s="666"/>
    </row>
    <row r="428" spans="1:12" hidden="1" outlineLevel="1" x14ac:dyDescent="0.35">
      <c r="A428" s="483"/>
      <c r="B428" s="762" t="s">
        <v>2000</v>
      </c>
      <c r="C428" s="664" t="s">
        <v>252</v>
      </c>
      <c r="D428" s="664"/>
      <c r="E428" s="664"/>
      <c r="F428" s="665"/>
      <c r="G428" s="664"/>
      <c r="H428" s="664"/>
      <c r="I428" s="664"/>
      <c r="J428" s="727"/>
      <c r="K428" s="664"/>
      <c r="L428" s="666"/>
    </row>
    <row r="429" spans="1:12" hidden="1" outlineLevel="1" x14ac:dyDescent="0.35">
      <c r="A429" s="483"/>
      <c r="B429" s="762" t="s">
        <v>2000</v>
      </c>
      <c r="C429" s="664" t="s">
        <v>253</v>
      </c>
      <c r="D429" s="664"/>
      <c r="E429" s="664"/>
      <c r="F429" s="665"/>
      <c r="G429" s="664"/>
      <c r="H429" s="664"/>
      <c r="I429" s="664"/>
      <c r="J429" s="727"/>
      <c r="K429" s="664"/>
      <c r="L429" s="666"/>
    </row>
    <row r="430" spans="1:12" hidden="1" outlineLevel="1" x14ac:dyDescent="0.35">
      <c r="A430" s="483"/>
      <c r="B430" s="762" t="s">
        <v>2000</v>
      </c>
      <c r="C430" s="664" t="s">
        <v>254</v>
      </c>
      <c r="D430" s="664"/>
      <c r="E430" s="664"/>
      <c r="F430" s="665"/>
      <c r="G430" s="664"/>
      <c r="H430" s="664"/>
      <c r="I430" s="664"/>
      <c r="J430" s="727"/>
      <c r="K430" s="664"/>
      <c r="L430" s="666"/>
    </row>
    <row r="431" spans="1:12" hidden="1" outlineLevel="1" x14ac:dyDescent="0.35">
      <c r="A431" s="483"/>
      <c r="B431" s="762" t="s">
        <v>2000</v>
      </c>
      <c r="C431" s="664" t="s">
        <v>255</v>
      </c>
      <c r="D431" s="664"/>
      <c r="E431" s="664"/>
      <c r="F431" s="665"/>
      <c r="G431" s="664"/>
      <c r="H431" s="664"/>
      <c r="I431" s="664"/>
      <c r="J431" s="727"/>
      <c r="K431" s="664"/>
      <c r="L431" s="666"/>
    </row>
    <row r="432" spans="1:12" hidden="1" outlineLevel="1" x14ac:dyDescent="0.35">
      <c r="A432" s="483"/>
      <c r="B432" s="762" t="s">
        <v>2000</v>
      </c>
      <c r="C432" s="664" t="s">
        <v>256</v>
      </c>
      <c r="D432" s="664"/>
      <c r="E432" s="664"/>
      <c r="F432" s="665"/>
      <c r="G432" s="664"/>
      <c r="H432" s="664"/>
      <c r="I432" s="664"/>
      <c r="J432" s="727"/>
      <c r="K432" s="664"/>
      <c r="L432" s="666"/>
    </row>
    <row r="433" spans="1:12" hidden="1" outlineLevel="1" x14ac:dyDescent="0.35">
      <c r="A433" s="483"/>
      <c r="B433" s="762" t="s">
        <v>2000</v>
      </c>
      <c r="C433" s="664" t="s">
        <v>257</v>
      </c>
      <c r="D433" s="664"/>
      <c r="E433" s="664"/>
      <c r="F433" s="665"/>
      <c r="G433" s="664"/>
      <c r="H433" s="664"/>
      <c r="I433" s="664"/>
      <c r="J433" s="727"/>
      <c r="K433" s="664"/>
      <c r="L433" s="666"/>
    </row>
    <row r="434" spans="1:12" hidden="1" outlineLevel="1" x14ac:dyDescent="0.35">
      <c r="A434" s="483"/>
      <c r="B434" s="762" t="s">
        <v>2000</v>
      </c>
      <c r="C434" s="664" t="s">
        <v>258</v>
      </c>
      <c r="D434" s="664"/>
      <c r="E434" s="664"/>
      <c r="F434" s="665"/>
      <c r="G434" s="664"/>
      <c r="H434" s="664"/>
      <c r="I434" s="664"/>
      <c r="J434" s="727"/>
      <c r="K434" s="664"/>
      <c r="L434" s="666"/>
    </row>
    <row r="435" spans="1:12" hidden="1" outlineLevel="1" x14ac:dyDescent="0.35">
      <c r="A435" s="483"/>
      <c r="B435" s="762" t="s">
        <v>2000</v>
      </c>
      <c r="C435" s="664" t="s">
        <v>259</v>
      </c>
      <c r="D435" s="664"/>
      <c r="E435" s="664"/>
      <c r="F435" s="665"/>
      <c r="G435" s="664"/>
      <c r="H435" s="664"/>
      <c r="I435" s="664"/>
      <c r="J435" s="727"/>
      <c r="K435" s="664"/>
      <c r="L435" s="666"/>
    </row>
    <row r="436" spans="1:12" hidden="1" outlineLevel="1" x14ac:dyDescent="0.35">
      <c r="A436" s="483"/>
      <c r="B436" s="762" t="s">
        <v>2000</v>
      </c>
      <c r="C436" s="664" t="s">
        <v>260</v>
      </c>
      <c r="D436" s="664"/>
      <c r="E436" s="664"/>
      <c r="F436" s="665"/>
      <c r="G436" s="664"/>
      <c r="H436" s="664"/>
      <c r="I436" s="664"/>
      <c r="J436" s="727"/>
      <c r="K436" s="664"/>
      <c r="L436" s="666"/>
    </row>
    <row r="437" spans="1:12" hidden="1" outlineLevel="1" x14ac:dyDescent="0.35">
      <c r="A437" s="483"/>
      <c r="B437" s="762" t="s">
        <v>2000</v>
      </c>
      <c r="C437" s="664" t="s">
        <v>261</v>
      </c>
      <c r="D437" s="664"/>
      <c r="E437" s="664"/>
      <c r="F437" s="665"/>
      <c r="G437" s="664"/>
      <c r="H437" s="664"/>
      <c r="I437" s="664"/>
      <c r="J437" s="727"/>
      <c r="K437" s="664"/>
      <c r="L437" s="666"/>
    </row>
    <row r="438" spans="1:12" hidden="1" outlineLevel="1" x14ac:dyDescent="0.35">
      <c r="A438" s="483"/>
      <c r="B438" s="762" t="s">
        <v>2000</v>
      </c>
      <c r="C438" s="664" t="s">
        <v>262</v>
      </c>
      <c r="D438" s="664"/>
      <c r="E438" s="664"/>
      <c r="F438" s="665"/>
      <c r="G438" s="664"/>
      <c r="H438" s="664"/>
      <c r="I438" s="664"/>
      <c r="J438" s="727"/>
      <c r="K438" s="664"/>
      <c r="L438" s="666"/>
    </row>
    <row r="439" spans="1:12" hidden="1" outlineLevel="1" x14ac:dyDescent="0.35">
      <c r="A439" s="483"/>
      <c r="B439" s="762" t="s">
        <v>2000</v>
      </c>
      <c r="C439" s="664" t="s">
        <v>263</v>
      </c>
      <c r="D439" s="664"/>
      <c r="E439" s="664"/>
      <c r="F439" s="665"/>
      <c r="G439" s="664"/>
      <c r="H439" s="664"/>
      <c r="I439" s="664"/>
      <c r="J439" s="727"/>
      <c r="K439" s="664"/>
      <c r="L439" s="666"/>
    </row>
    <row r="440" spans="1:12" hidden="1" outlineLevel="1" x14ac:dyDescent="0.35">
      <c r="A440" s="483"/>
      <c r="B440" s="762" t="s">
        <v>2000</v>
      </c>
      <c r="C440" s="664" t="s">
        <v>264</v>
      </c>
      <c r="D440" s="664"/>
      <c r="E440" s="664"/>
      <c r="F440" s="665"/>
      <c r="G440" s="664"/>
      <c r="H440" s="664"/>
      <c r="I440" s="664"/>
      <c r="J440" s="727"/>
      <c r="K440" s="664"/>
      <c r="L440" s="666"/>
    </row>
    <row r="441" spans="1:12" hidden="1" outlineLevel="1" x14ac:dyDescent="0.35">
      <c r="A441" s="483"/>
      <c r="B441" s="762" t="s">
        <v>2000</v>
      </c>
      <c r="C441" s="664" t="s">
        <v>265</v>
      </c>
      <c r="D441" s="664"/>
      <c r="E441" s="664"/>
      <c r="F441" s="665"/>
      <c r="G441" s="664"/>
      <c r="H441" s="664"/>
      <c r="I441" s="664"/>
      <c r="J441" s="727"/>
      <c r="K441" s="664"/>
      <c r="L441" s="666"/>
    </row>
    <row r="442" spans="1:12" hidden="1" outlineLevel="1" x14ac:dyDescent="0.35">
      <c r="A442" s="483"/>
      <c r="B442" s="762" t="s">
        <v>2000</v>
      </c>
      <c r="C442" s="664" t="s">
        <v>266</v>
      </c>
      <c r="D442" s="664"/>
      <c r="E442" s="664"/>
      <c r="F442" s="665"/>
      <c r="G442" s="664"/>
      <c r="H442" s="664"/>
      <c r="I442" s="664"/>
      <c r="J442" s="727"/>
      <c r="K442" s="664"/>
      <c r="L442" s="666"/>
    </row>
    <row r="443" spans="1:12" hidden="1" outlineLevel="1" x14ac:dyDescent="0.35">
      <c r="A443" s="483"/>
      <c r="B443" s="762" t="s">
        <v>2000</v>
      </c>
      <c r="C443" s="664" t="s">
        <v>267</v>
      </c>
      <c r="D443" s="664"/>
      <c r="E443" s="664"/>
      <c r="F443" s="665"/>
      <c r="G443" s="664"/>
      <c r="H443" s="664"/>
      <c r="I443" s="664"/>
      <c r="J443" s="727"/>
      <c r="K443" s="664"/>
      <c r="L443" s="666"/>
    </row>
    <row r="444" spans="1:12" hidden="1" outlineLevel="1" x14ac:dyDescent="0.35">
      <c r="A444" s="483"/>
      <c r="B444" s="762" t="s">
        <v>2000</v>
      </c>
      <c r="C444" s="664" t="s">
        <v>268</v>
      </c>
      <c r="D444" s="664"/>
      <c r="E444" s="664"/>
      <c r="F444" s="665"/>
      <c r="G444" s="664"/>
      <c r="H444" s="664"/>
      <c r="I444" s="664"/>
      <c r="J444" s="727"/>
      <c r="K444" s="664"/>
      <c r="L444" s="666"/>
    </row>
    <row r="445" spans="1:12" hidden="1" outlineLevel="1" x14ac:dyDescent="0.35">
      <c r="A445" s="483"/>
      <c r="B445" s="762" t="s">
        <v>2000</v>
      </c>
      <c r="C445" s="664" t="s">
        <v>269</v>
      </c>
      <c r="D445" s="664"/>
      <c r="E445" s="664"/>
      <c r="F445" s="665"/>
      <c r="G445" s="664"/>
      <c r="H445" s="664"/>
      <c r="I445" s="664"/>
      <c r="J445" s="727"/>
      <c r="K445" s="664"/>
      <c r="L445" s="666"/>
    </row>
    <row r="446" spans="1:12" hidden="1" outlineLevel="1" x14ac:dyDescent="0.35">
      <c r="A446" s="483"/>
      <c r="B446" s="762" t="s">
        <v>2000</v>
      </c>
      <c r="C446" s="664" t="s">
        <v>270</v>
      </c>
      <c r="D446" s="664"/>
      <c r="E446" s="664"/>
      <c r="F446" s="665"/>
      <c r="G446" s="664"/>
      <c r="H446" s="664"/>
      <c r="I446" s="664"/>
      <c r="J446" s="727"/>
      <c r="K446" s="664"/>
      <c r="L446" s="666"/>
    </row>
    <row r="447" spans="1:12" hidden="1" outlineLevel="1" x14ac:dyDescent="0.35">
      <c r="A447" s="483"/>
      <c r="B447" s="762" t="s">
        <v>2000</v>
      </c>
      <c r="C447" s="664" t="s">
        <v>271</v>
      </c>
      <c r="D447" s="664"/>
      <c r="E447" s="664"/>
      <c r="F447" s="665"/>
      <c r="G447" s="664"/>
      <c r="H447" s="664"/>
      <c r="I447" s="664"/>
      <c r="J447" s="727"/>
      <c r="K447" s="664"/>
      <c r="L447" s="666"/>
    </row>
    <row r="448" spans="1:12" hidden="1" outlineLevel="1" x14ac:dyDescent="0.35">
      <c r="A448" s="483"/>
      <c r="B448" s="762" t="s">
        <v>2000</v>
      </c>
      <c r="C448" s="664" t="s">
        <v>272</v>
      </c>
      <c r="D448" s="664"/>
      <c r="E448" s="664"/>
      <c r="F448" s="665"/>
      <c r="G448" s="664"/>
      <c r="H448" s="664"/>
      <c r="I448" s="664"/>
      <c r="J448" s="727"/>
      <c r="K448" s="664"/>
      <c r="L448" s="666"/>
    </row>
    <row r="449" spans="1:12" hidden="1" outlineLevel="1" x14ac:dyDescent="0.35">
      <c r="A449" s="483"/>
      <c r="B449" s="762" t="s">
        <v>2000</v>
      </c>
      <c r="C449" s="664" t="s">
        <v>273</v>
      </c>
      <c r="D449" s="664"/>
      <c r="E449" s="664"/>
      <c r="F449" s="665"/>
      <c r="G449" s="664"/>
      <c r="H449" s="664"/>
      <c r="I449" s="664"/>
      <c r="J449" s="727"/>
      <c r="K449" s="664"/>
      <c r="L449" s="666"/>
    </row>
    <row r="450" spans="1:12" hidden="1" outlineLevel="1" x14ac:dyDescent="0.35">
      <c r="A450" s="483"/>
      <c r="B450" s="762" t="s">
        <v>2000</v>
      </c>
      <c r="C450" s="664" t="s">
        <v>274</v>
      </c>
      <c r="D450" s="664"/>
      <c r="E450" s="664"/>
      <c r="F450" s="665"/>
      <c r="G450" s="664"/>
      <c r="H450" s="664"/>
      <c r="I450" s="664"/>
      <c r="J450" s="727"/>
      <c r="K450" s="664"/>
      <c r="L450" s="666"/>
    </row>
    <row r="451" spans="1:12" hidden="1" outlineLevel="1" x14ac:dyDescent="0.35">
      <c r="A451" s="483"/>
      <c r="B451" s="762" t="s">
        <v>2000</v>
      </c>
      <c r="C451" s="664" t="s">
        <v>275</v>
      </c>
      <c r="D451" s="664"/>
      <c r="E451" s="664"/>
      <c r="F451" s="665"/>
      <c r="G451" s="664"/>
      <c r="H451" s="664"/>
      <c r="I451" s="664"/>
      <c r="J451" s="727"/>
      <c r="K451" s="664"/>
      <c r="L451" s="666"/>
    </row>
    <row r="452" spans="1:12" hidden="1" outlineLevel="1" x14ac:dyDescent="0.35">
      <c r="A452" s="483"/>
      <c r="B452" s="762" t="s">
        <v>2000</v>
      </c>
      <c r="C452" s="664" t="s">
        <v>276</v>
      </c>
      <c r="D452" s="664"/>
      <c r="E452" s="664"/>
      <c r="F452" s="665"/>
      <c r="G452" s="664"/>
      <c r="H452" s="664"/>
      <c r="I452" s="664"/>
      <c r="J452" s="727"/>
      <c r="K452" s="664"/>
      <c r="L452" s="666"/>
    </row>
    <row r="453" spans="1:12" hidden="1" outlineLevel="1" x14ac:dyDescent="0.35">
      <c r="A453" s="483"/>
      <c r="B453" s="762" t="s">
        <v>2000</v>
      </c>
      <c r="C453" s="664" t="s">
        <v>277</v>
      </c>
      <c r="D453" s="664"/>
      <c r="E453" s="664"/>
      <c r="F453" s="665"/>
      <c r="G453" s="664"/>
      <c r="H453" s="664"/>
      <c r="I453" s="664"/>
      <c r="J453" s="727"/>
      <c r="K453" s="664"/>
      <c r="L453" s="666"/>
    </row>
    <row r="454" spans="1:12" hidden="1" outlineLevel="1" x14ac:dyDescent="0.35">
      <c r="A454" s="483"/>
      <c r="B454" s="762" t="s">
        <v>2000</v>
      </c>
      <c r="C454" s="664" t="s">
        <v>278</v>
      </c>
      <c r="D454" s="664"/>
      <c r="E454" s="664"/>
      <c r="F454" s="665"/>
      <c r="G454" s="664"/>
      <c r="H454" s="664"/>
      <c r="I454" s="664"/>
      <c r="J454" s="727"/>
      <c r="K454" s="664"/>
      <c r="L454" s="666"/>
    </row>
    <row r="455" spans="1:12" hidden="1" outlineLevel="1" x14ac:dyDescent="0.35">
      <c r="A455" s="483"/>
      <c r="B455" s="762" t="s">
        <v>2000</v>
      </c>
      <c r="C455" s="664" t="s">
        <v>279</v>
      </c>
      <c r="D455" s="664"/>
      <c r="E455" s="664"/>
      <c r="F455" s="665"/>
      <c r="G455" s="664"/>
      <c r="H455" s="664"/>
      <c r="I455" s="664"/>
      <c r="J455" s="727"/>
      <c r="K455" s="664"/>
      <c r="L455" s="666"/>
    </row>
    <row r="456" spans="1:12" hidden="1" outlineLevel="1" x14ac:dyDescent="0.35">
      <c r="A456" s="483"/>
      <c r="B456" s="762" t="s">
        <v>2000</v>
      </c>
      <c r="C456" s="664" t="s">
        <v>280</v>
      </c>
      <c r="D456" s="664"/>
      <c r="E456" s="664"/>
      <c r="F456" s="665"/>
      <c r="G456" s="664"/>
      <c r="H456" s="664"/>
      <c r="I456" s="664"/>
      <c r="J456" s="727"/>
      <c r="K456" s="664"/>
      <c r="L456" s="666"/>
    </row>
    <row r="457" spans="1:12" hidden="1" outlineLevel="1" x14ac:dyDescent="0.35">
      <c r="A457" s="483"/>
      <c r="B457" s="762" t="s">
        <v>2000</v>
      </c>
      <c r="C457" s="664" t="s">
        <v>281</v>
      </c>
      <c r="D457" s="664"/>
      <c r="E457" s="664"/>
      <c r="F457" s="665"/>
      <c r="G457" s="664"/>
      <c r="H457" s="664"/>
      <c r="I457" s="664"/>
      <c r="J457" s="727"/>
      <c r="K457" s="664"/>
      <c r="L457" s="666"/>
    </row>
    <row r="458" spans="1:12" hidden="1" outlineLevel="1" x14ac:dyDescent="0.35">
      <c r="A458" s="483"/>
      <c r="B458" s="762" t="s">
        <v>2000</v>
      </c>
      <c r="C458" s="664" t="s">
        <v>282</v>
      </c>
      <c r="D458" s="664"/>
      <c r="E458" s="664"/>
      <c r="F458" s="665"/>
      <c r="G458" s="664"/>
      <c r="H458" s="664"/>
      <c r="I458" s="664"/>
      <c r="J458" s="727"/>
      <c r="K458" s="664"/>
      <c r="L458" s="666"/>
    </row>
    <row r="459" spans="1:12" hidden="1" outlineLevel="1" x14ac:dyDescent="0.35">
      <c r="A459" s="483"/>
      <c r="B459" s="762" t="s">
        <v>2000</v>
      </c>
      <c r="C459" s="664" t="s">
        <v>283</v>
      </c>
      <c r="D459" s="664"/>
      <c r="E459" s="664"/>
      <c r="F459" s="665"/>
      <c r="G459" s="664"/>
      <c r="H459" s="664"/>
      <c r="I459" s="664"/>
      <c r="J459" s="727"/>
      <c r="K459" s="664"/>
      <c r="L459" s="666"/>
    </row>
    <row r="460" spans="1:12" hidden="1" outlineLevel="1" x14ac:dyDescent="0.35">
      <c r="A460" s="483"/>
      <c r="B460" s="762" t="s">
        <v>2000</v>
      </c>
      <c r="C460" s="664" t="s">
        <v>284</v>
      </c>
      <c r="D460" s="664"/>
      <c r="E460" s="664"/>
      <c r="F460" s="665"/>
      <c r="G460" s="664"/>
      <c r="H460" s="664"/>
      <c r="I460" s="664"/>
      <c r="J460" s="727"/>
      <c r="K460" s="664"/>
      <c r="L460" s="666"/>
    </row>
    <row r="461" spans="1:12" hidden="1" outlineLevel="1" x14ac:dyDescent="0.35">
      <c r="A461" s="483"/>
      <c r="B461" s="762" t="s">
        <v>2000</v>
      </c>
      <c r="C461" s="664" t="s">
        <v>285</v>
      </c>
      <c r="D461" s="664"/>
      <c r="E461" s="664"/>
      <c r="F461" s="665"/>
      <c r="G461" s="664"/>
      <c r="H461" s="664"/>
      <c r="I461" s="664"/>
      <c r="J461" s="727"/>
      <c r="K461" s="664"/>
      <c r="L461" s="666"/>
    </row>
    <row r="462" spans="1:12" hidden="1" outlineLevel="1" x14ac:dyDescent="0.35">
      <c r="A462" s="483"/>
      <c r="B462" s="762" t="s">
        <v>2000</v>
      </c>
      <c r="C462" s="664" t="s">
        <v>286</v>
      </c>
      <c r="D462" s="664"/>
      <c r="E462" s="664"/>
      <c r="F462" s="665"/>
      <c r="G462" s="664"/>
      <c r="H462" s="664"/>
      <c r="I462" s="664"/>
      <c r="J462" s="727"/>
      <c r="K462" s="664"/>
      <c r="L462" s="666"/>
    </row>
    <row r="463" spans="1:12" hidden="1" outlineLevel="1" x14ac:dyDescent="0.35">
      <c r="A463" s="483"/>
      <c r="B463" s="762" t="s">
        <v>2000</v>
      </c>
      <c r="C463" s="664" t="s">
        <v>287</v>
      </c>
      <c r="D463" s="664"/>
      <c r="E463" s="664"/>
      <c r="F463" s="665"/>
      <c r="G463" s="664"/>
      <c r="H463" s="664"/>
      <c r="I463" s="664"/>
      <c r="J463" s="727"/>
      <c r="K463" s="664"/>
      <c r="L463" s="666"/>
    </row>
    <row r="464" spans="1:12" hidden="1" outlineLevel="1" x14ac:dyDescent="0.35">
      <c r="A464" s="483"/>
      <c r="B464" s="762" t="s">
        <v>2000</v>
      </c>
      <c r="C464" s="664" t="s">
        <v>288</v>
      </c>
      <c r="D464" s="664"/>
      <c r="E464" s="664"/>
      <c r="F464" s="665"/>
      <c r="G464" s="664"/>
      <c r="H464" s="664"/>
      <c r="I464" s="664"/>
      <c r="J464" s="727"/>
      <c r="K464" s="664"/>
      <c r="L464" s="666"/>
    </row>
    <row r="465" spans="1:12" hidden="1" outlineLevel="1" x14ac:dyDescent="0.35">
      <c r="A465" s="483"/>
      <c r="B465" s="762" t="s">
        <v>2000</v>
      </c>
      <c r="C465" s="664" t="s">
        <v>289</v>
      </c>
      <c r="D465" s="664"/>
      <c r="E465" s="664"/>
      <c r="F465" s="665"/>
      <c r="G465" s="664"/>
      <c r="H465" s="664"/>
      <c r="I465" s="664"/>
      <c r="J465" s="727"/>
      <c r="K465" s="664"/>
      <c r="L465" s="666"/>
    </row>
    <row r="466" spans="1:12" hidden="1" outlineLevel="1" x14ac:dyDescent="0.35">
      <c r="A466" s="483"/>
      <c r="B466" s="762" t="s">
        <v>2000</v>
      </c>
      <c r="C466" s="664" t="s">
        <v>290</v>
      </c>
      <c r="D466" s="664"/>
      <c r="E466" s="664"/>
      <c r="F466" s="665"/>
      <c r="G466" s="664"/>
      <c r="H466" s="664"/>
      <c r="I466" s="664"/>
      <c r="J466" s="727"/>
      <c r="K466" s="664"/>
      <c r="L466" s="666"/>
    </row>
    <row r="467" spans="1:12" hidden="1" outlineLevel="1" x14ac:dyDescent="0.35">
      <c r="A467" s="483"/>
      <c r="B467" s="762" t="s">
        <v>2000</v>
      </c>
      <c r="C467" s="664" t="s">
        <v>291</v>
      </c>
      <c r="D467" s="664"/>
      <c r="E467" s="664"/>
      <c r="F467" s="665"/>
      <c r="G467" s="664"/>
      <c r="H467" s="664"/>
      <c r="I467" s="664"/>
      <c r="J467" s="727"/>
      <c r="K467" s="664"/>
      <c r="L467" s="666"/>
    </row>
    <row r="468" spans="1:12" hidden="1" outlineLevel="1" x14ac:dyDescent="0.35">
      <c r="A468" s="483"/>
      <c r="B468" s="762" t="s">
        <v>2000</v>
      </c>
      <c r="C468" s="664" t="s">
        <v>292</v>
      </c>
      <c r="D468" s="664"/>
      <c r="E468" s="664"/>
      <c r="F468" s="665"/>
      <c r="G468" s="664"/>
      <c r="H468" s="664"/>
      <c r="I468" s="664"/>
      <c r="J468" s="727"/>
      <c r="K468" s="664"/>
      <c r="L468" s="666"/>
    </row>
    <row r="469" spans="1:12" hidden="1" outlineLevel="1" x14ac:dyDescent="0.35">
      <c r="A469" s="483"/>
      <c r="B469" s="762" t="s">
        <v>2000</v>
      </c>
      <c r="C469" s="664" t="s">
        <v>293</v>
      </c>
      <c r="D469" s="664"/>
      <c r="E469" s="664"/>
      <c r="F469" s="665"/>
      <c r="G469" s="664"/>
      <c r="H469" s="664"/>
      <c r="I469" s="664"/>
      <c r="J469" s="727"/>
      <c r="K469" s="664"/>
      <c r="L469" s="666"/>
    </row>
    <row r="470" spans="1:12" hidden="1" outlineLevel="1" x14ac:dyDescent="0.35">
      <c r="A470" s="483"/>
      <c r="B470" s="762" t="s">
        <v>2000</v>
      </c>
      <c r="C470" s="664" t="s">
        <v>294</v>
      </c>
      <c r="D470" s="664"/>
      <c r="E470" s="664"/>
      <c r="F470" s="665"/>
      <c r="G470" s="664"/>
      <c r="H470" s="664"/>
      <c r="I470" s="664"/>
      <c r="J470" s="727"/>
      <c r="K470" s="664"/>
      <c r="L470" s="666"/>
    </row>
    <row r="471" spans="1:12" hidden="1" outlineLevel="1" x14ac:dyDescent="0.35">
      <c r="A471" s="483"/>
      <c r="B471" s="762" t="s">
        <v>2000</v>
      </c>
      <c r="C471" s="664" t="s">
        <v>295</v>
      </c>
      <c r="D471" s="664"/>
      <c r="E471" s="664"/>
      <c r="F471" s="665"/>
      <c r="G471" s="664"/>
      <c r="H471" s="664"/>
      <c r="I471" s="664"/>
      <c r="J471" s="727"/>
      <c r="K471" s="664"/>
      <c r="L471" s="666"/>
    </row>
    <row r="472" spans="1:12" hidden="1" outlineLevel="1" x14ac:dyDescent="0.35">
      <c r="A472" s="483"/>
      <c r="B472" s="762" t="s">
        <v>2000</v>
      </c>
      <c r="C472" s="664" t="s">
        <v>296</v>
      </c>
      <c r="D472" s="664"/>
      <c r="E472" s="664"/>
      <c r="F472" s="665"/>
      <c r="G472" s="664"/>
      <c r="H472" s="664"/>
      <c r="I472" s="664"/>
      <c r="J472" s="727"/>
      <c r="K472" s="664"/>
      <c r="L472" s="666"/>
    </row>
    <row r="473" spans="1:12" hidden="1" outlineLevel="1" x14ac:dyDescent="0.35">
      <c r="A473" s="483"/>
      <c r="B473" s="762" t="s">
        <v>2000</v>
      </c>
      <c r="C473" s="664" t="s">
        <v>297</v>
      </c>
      <c r="D473" s="664"/>
      <c r="E473" s="664"/>
      <c r="F473" s="665"/>
      <c r="G473" s="664"/>
      <c r="H473" s="664"/>
      <c r="I473" s="664"/>
      <c r="J473" s="727"/>
      <c r="K473" s="664"/>
      <c r="L473" s="666"/>
    </row>
    <row r="474" spans="1:12" hidden="1" outlineLevel="1" x14ac:dyDescent="0.35">
      <c r="A474" s="483"/>
      <c r="B474" s="762" t="s">
        <v>2000</v>
      </c>
      <c r="C474" s="664" t="s">
        <v>298</v>
      </c>
      <c r="D474" s="664"/>
      <c r="E474" s="664"/>
      <c r="F474" s="665"/>
      <c r="G474" s="664"/>
      <c r="H474" s="664"/>
      <c r="I474" s="664"/>
      <c r="J474" s="727"/>
      <c r="K474" s="664"/>
      <c r="L474" s="666"/>
    </row>
    <row r="475" spans="1:12" hidden="1" outlineLevel="1" x14ac:dyDescent="0.35">
      <c r="A475" s="483"/>
      <c r="B475" s="762" t="s">
        <v>2000</v>
      </c>
      <c r="C475" s="664" t="s">
        <v>299</v>
      </c>
      <c r="D475" s="664"/>
      <c r="E475" s="664"/>
      <c r="F475" s="665"/>
      <c r="G475" s="664"/>
      <c r="H475" s="664"/>
      <c r="I475" s="664"/>
      <c r="J475" s="727"/>
      <c r="K475" s="664"/>
      <c r="L475" s="666"/>
    </row>
    <row r="476" spans="1:12" hidden="1" outlineLevel="1" x14ac:dyDescent="0.35">
      <c r="A476" s="483"/>
      <c r="B476" s="762" t="s">
        <v>2000</v>
      </c>
      <c r="C476" s="664" t="s">
        <v>300</v>
      </c>
      <c r="D476" s="664"/>
      <c r="E476" s="664"/>
      <c r="F476" s="665"/>
      <c r="G476" s="664"/>
      <c r="H476" s="664"/>
      <c r="I476" s="664"/>
      <c r="J476" s="727"/>
      <c r="K476" s="664"/>
      <c r="L476" s="666"/>
    </row>
    <row r="477" spans="1:12" hidden="1" outlineLevel="1" x14ac:dyDescent="0.35">
      <c r="A477" s="483"/>
      <c r="B477" s="762" t="s">
        <v>2000</v>
      </c>
      <c r="C477" s="664" t="s">
        <v>301</v>
      </c>
      <c r="D477" s="664"/>
      <c r="E477" s="664"/>
      <c r="F477" s="665"/>
      <c r="G477" s="664"/>
      <c r="H477" s="664"/>
      <c r="I477" s="664"/>
      <c r="J477" s="727"/>
      <c r="K477" s="664"/>
      <c r="L477" s="666"/>
    </row>
    <row r="478" spans="1:12" hidden="1" outlineLevel="1" x14ac:dyDescent="0.35">
      <c r="A478" s="483"/>
      <c r="B478" s="762" t="s">
        <v>2000</v>
      </c>
      <c r="C478" s="664" t="s">
        <v>302</v>
      </c>
      <c r="D478" s="664"/>
      <c r="E478" s="664"/>
      <c r="F478" s="665"/>
      <c r="G478" s="664"/>
      <c r="H478" s="664"/>
      <c r="I478" s="664"/>
      <c r="J478" s="727"/>
      <c r="K478" s="664"/>
      <c r="L478" s="666"/>
    </row>
    <row r="479" spans="1:12" hidden="1" outlineLevel="1" x14ac:dyDescent="0.35">
      <c r="A479" s="483"/>
      <c r="B479" s="762" t="s">
        <v>2000</v>
      </c>
      <c r="C479" s="664" t="s">
        <v>303</v>
      </c>
      <c r="D479" s="664"/>
      <c r="E479" s="664"/>
      <c r="F479" s="665"/>
      <c r="G479" s="664"/>
      <c r="H479" s="664"/>
      <c r="I479" s="664"/>
      <c r="J479" s="727"/>
      <c r="K479" s="664"/>
      <c r="L479" s="666"/>
    </row>
    <row r="480" spans="1:12" hidden="1" outlineLevel="1" x14ac:dyDescent="0.35">
      <c r="A480" s="483"/>
      <c r="B480" s="762" t="s">
        <v>2000</v>
      </c>
      <c r="C480" s="664" t="s">
        <v>304</v>
      </c>
      <c r="D480" s="664"/>
      <c r="E480" s="664"/>
      <c r="F480" s="665"/>
      <c r="G480" s="664"/>
      <c r="H480" s="664"/>
      <c r="I480" s="664"/>
      <c r="J480" s="727"/>
      <c r="K480" s="664"/>
      <c r="L480" s="666"/>
    </row>
    <row r="481" spans="1:12" hidden="1" outlineLevel="1" x14ac:dyDescent="0.35">
      <c r="A481" s="483"/>
      <c r="B481" s="762" t="s">
        <v>2000</v>
      </c>
      <c r="C481" s="664" t="s">
        <v>305</v>
      </c>
      <c r="D481" s="664"/>
      <c r="E481" s="664"/>
      <c r="F481" s="665"/>
      <c r="G481" s="664"/>
      <c r="H481" s="664"/>
      <c r="I481" s="664"/>
      <c r="J481" s="727"/>
      <c r="K481" s="664"/>
      <c r="L481" s="666"/>
    </row>
    <row r="482" spans="1:12" hidden="1" outlineLevel="1" x14ac:dyDescent="0.35">
      <c r="A482" s="483"/>
      <c r="B482" s="762" t="s">
        <v>2000</v>
      </c>
      <c r="C482" s="664" t="s">
        <v>306</v>
      </c>
      <c r="D482" s="664"/>
      <c r="E482" s="664"/>
      <c r="F482" s="665"/>
      <c r="G482" s="664"/>
      <c r="H482" s="664"/>
      <c r="I482" s="664"/>
      <c r="J482" s="727"/>
      <c r="K482" s="664"/>
      <c r="L482" s="666"/>
    </row>
    <row r="483" spans="1:12" hidden="1" outlineLevel="1" x14ac:dyDescent="0.35">
      <c r="A483" s="483"/>
      <c r="B483" s="762" t="s">
        <v>2000</v>
      </c>
      <c r="C483" s="664" t="s">
        <v>307</v>
      </c>
      <c r="D483" s="664"/>
      <c r="E483" s="664"/>
      <c r="F483" s="665"/>
      <c r="G483" s="664"/>
      <c r="H483" s="664"/>
      <c r="I483" s="664"/>
      <c r="J483" s="727"/>
      <c r="K483" s="664"/>
      <c r="L483" s="666"/>
    </row>
    <row r="484" spans="1:12" hidden="1" outlineLevel="1" x14ac:dyDescent="0.35">
      <c r="A484" s="483"/>
      <c r="B484" s="762" t="s">
        <v>2000</v>
      </c>
      <c r="C484" s="664" t="s">
        <v>308</v>
      </c>
      <c r="D484" s="664"/>
      <c r="E484" s="664"/>
      <c r="F484" s="665"/>
      <c r="G484" s="664"/>
      <c r="H484" s="664"/>
      <c r="I484" s="664"/>
      <c r="J484" s="727"/>
      <c r="K484" s="664"/>
      <c r="L484" s="666"/>
    </row>
    <row r="485" spans="1:12" hidden="1" outlineLevel="1" x14ac:dyDescent="0.35">
      <c r="A485" s="483"/>
      <c r="B485" s="762" t="s">
        <v>2000</v>
      </c>
      <c r="C485" s="664" t="s">
        <v>309</v>
      </c>
      <c r="D485" s="664"/>
      <c r="E485" s="664"/>
      <c r="F485" s="665"/>
      <c r="G485" s="664"/>
      <c r="H485" s="664"/>
      <c r="I485" s="664"/>
      <c r="J485" s="727"/>
      <c r="K485" s="664"/>
      <c r="L485" s="666"/>
    </row>
    <row r="486" spans="1:12" hidden="1" outlineLevel="1" x14ac:dyDescent="0.35">
      <c r="A486" s="483"/>
      <c r="B486" s="762" t="s">
        <v>2000</v>
      </c>
      <c r="C486" s="664" t="s">
        <v>310</v>
      </c>
      <c r="D486" s="664"/>
      <c r="E486" s="664"/>
      <c r="F486" s="665"/>
      <c r="G486" s="664"/>
      <c r="H486" s="664"/>
      <c r="I486" s="664"/>
      <c r="J486" s="727"/>
      <c r="K486" s="664"/>
      <c r="L486" s="666"/>
    </row>
    <row r="487" spans="1:12" hidden="1" outlineLevel="1" x14ac:dyDescent="0.35">
      <c r="A487" s="483"/>
      <c r="B487" s="762" t="s">
        <v>2000</v>
      </c>
      <c r="C487" s="664" t="s">
        <v>311</v>
      </c>
      <c r="D487" s="664"/>
      <c r="E487" s="664"/>
      <c r="F487" s="665"/>
      <c r="G487" s="664"/>
      <c r="H487" s="664"/>
      <c r="I487" s="664"/>
      <c r="J487" s="727"/>
      <c r="K487" s="664"/>
      <c r="L487" s="666"/>
    </row>
    <row r="488" spans="1:12" hidden="1" outlineLevel="1" x14ac:dyDescent="0.35">
      <c r="A488" s="483"/>
      <c r="B488" s="762" t="s">
        <v>2000</v>
      </c>
      <c r="C488" s="664" t="s">
        <v>312</v>
      </c>
      <c r="D488" s="664"/>
      <c r="E488" s="664"/>
      <c r="F488" s="665"/>
      <c r="G488" s="664"/>
      <c r="H488" s="664"/>
      <c r="I488" s="664"/>
      <c r="J488" s="727"/>
      <c r="K488" s="664"/>
      <c r="L488" s="666"/>
    </row>
    <row r="489" spans="1:12" hidden="1" outlineLevel="1" x14ac:dyDescent="0.35">
      <c r="A489" s="483"/>
      <c r="B489" s="762" t="s">
        <v>2000</v>
      </c>
      <c r="C489" s="664" t="s">
        <v>313</v>
      </c>
      <c r="D489" s="664"/>
      <c r="E489" s="664"/>
      <c r="F489" s="665"/>
      <c r="G489" s="664"/>
      <c r="H489" s="664"/>
      <c r="I489" s="664"/>
      <c r="J489" s="727"/>
      <c r="K489" s="664"/>
      <c r="L489" s="666"/>
    </row>
    <row r="490" spans="1:12" hidden="1" outlineLevel="1" x14ac:dyDescent="0.35">
      <c r="A490" s="483"/>
      <c r="B490" s="762" t="s">
        <v>2000</v>
      </c>
      <c r="C490" s="664" t="s">
        <v>314</v>
      </c>
      <c r="D490" s="664"/>
      <c r="E490" s="664"/>
      <c r="F490" s="665"/>
      <c r="G490" s="664"/>
      <c r="H490" s="664"/>
      <c r="I490" s="664"/>
      <c r="J490" s="727"/>
      <c r="K490" s="664"/>
      <c r="L490" s="666"/>
    </row>
    <row r="491" spans="1:12" hidden="1" outlineLevel="1" x14ac:dyDescent="0.35">
      <c r="A491" s="483"/>
      <c r="B491" s="762" t="s">
        <v>2000</v>
      </c>
      <c r="C491" s="664" t="s">
        <v>315</v>
      </c>
      <c r="D491" s="664"/>
      <c r="E491" s="664"/>
      <c r="F491" s="665"/>
      <c r="G491" s="664"/>
      <c r="H491" s="664"/>
      <c r="I491" s="664"/>
      <c r="J491" s="727"/>
      <c r="K491" s="664"/>
      <c r="L491" s="666"/>
    </row>
    <row r="492" spans="1:12" hidden="1" outlineLevel="1" x14ac:dyDescent="0.35">
      <c r="A492" s="483"/>
      <c r="B492" s="762" t="s">
        <v>2000</v>
      </c>
      <c r="C492" s="664" t="s">
        <v>316</v>
      </c>
      <c r="D492" s="664"/>
      <c r="E492" s="664"/>
      <c r="F492" s="665"/>
      <c r="G492" s="664"/>
      <c r="H492" s="664"/>
      <c r="I492" s="664"/>
      <c r="J492" s="727"/>
      <c r="K492" s="664"/>
      <c r="L492" s="666"/>
    </row>
    <row r="493" spans="1:12" hidden="1" outlineLevel="1" x14ac:dyDescent="0.35">
      <c r="A493" s="483"/>
      <c r="B493" s="762" t="s">
        <v>2000</v>
      </c>
      <c r="C493" s="664" t="s">
        <v>317</v>
      </c>
      <c r="D493" s="664"/>
      <c r="E493" s="664"/>
      <c r="F493" s="665"/>
      <c r="G493" s="664"/>
      <c r="H493" s="664"/>
      <c r="I493" s="664"/>
      <c r="J493" s="727"/>
      <c r="K493" s="664"/>
      <c r="L493" s="666"/>
    </row>
    <row r="494" spans="1:12" hidden="1" outlineLevel="1" x14ac:dyDescent="0.35">
      <c r="A494" s="483"/>
      <c r="B494" s="762" t="s">
        <v>2000</v>
      </c>
      <c r="C494" s="664" t="s">
        <v>318</v>
      </c>
      <c r="D494" s="664"/>
      <c r="E494" s="664"/>
      <c r="F494" s="665"/>
      <c r="G494" s="664"/>
      <c r="H494" s="664"/>
      <c r="I494" s="664"/>
      <c r="J494" s="727"/>
      <c r="K494" s="664"/>
      <c r="L494" s="666"/>
    </row>
    <row r="495" spans="1:12" hidden="1" outlineLevel="1" x14ac:dyDescent="0.35">
      <c r="A495" s="483"/>
      <c r="B495" s="762" t="s">
        <v>2000</v>
      </c>
      <c r="C495" s="664" t="s">
        <v>319</v>
      </c>
      <c r="D495" s="664"/>
      <c r="E495" s="664"/>
      <c r="F495" s="665"/>
      <c r="G495" s="664"/>
      <c r="H495" s="664"/>
      <c r="I495" s="664"/>
      <c r="J495" s="727"/>
      <c r="K495" s="664"/>
      <c r="L495" s="666"/>
    </row>
    <row r="496" spans="1:12" hidden="1" outlineLevel="1" x14ac:dyDescent="0.35">
      <c r="A496" s="483"/>
      <c r="B496" s="762" t="s">
        <v>2000</v>
      </c>
      <c r="C496" s="664" t="s">
        <v>320</v>
      </c>
      <c r="D496" s="664"/>
      <c r="E496" s="664"/>
      <c r="F496" s="665"/>
      <c r="G496" s="664"/>
      <c r="H496" s="664"/>
      <c r="I496" s="664"/>
      <c r="J496" s="727"/>
      <c r="K496" s="664"/>
      <c r="L496" s="666"/>
    </row>
    <row r="497" spans="1:12" hidden="1" outlineLevel="1" x14ac:dyDescent="0.35">
      <c r="A497" s="483"/>
      <c r="B497" s="762" t="s">
        <v>2000</v>
      </c>
      <c r="C497" s="664" t="s">
        <v>321</v>
      </c>
      <c r="D497" s="664"/>
      <c r="E497" s="664"/>
      <c r="F497" s="665"/>
      <c r="G497" s="664"/>
      <c r="H497" s="664"/>
      <c r="I497" s="664"/>
      <c r="J497" s="727"/>
      <c r="K497" s="664"/>
      <c r="L497" s="666"/>
    </row>
    <row r="498" spans="1:12" hidden="1" outlineLevel="1" x14ac:dyDescent="0.35">
      <c r="A498" s="483"/>
      <c r="B498" s="762" t="s">
        <v>2000</v>
      </c>
      <c r="C498" s="664" t="s">
        <v>322</v>
      </c>
      <c r="D498" s="664"/>
      <c r="E498" s="664"/>
      <c r="F498" s="665"/>
      <c r="G498" s="664"/>
      <c r="H498" s="664"/>
      <c r="I498" s="664"/>
      <c r="J498" s="727"/>
      <c r="K498" s="664"/>
      <c r="L498" s="666"/>
    </row>
    <row r="499" spans="1:12" hidden="1" outlineLevel="1" x14ac:dyDescent="0.35">
      <c r="A499" s="483"/>
      <c r="B499" s="762" t="s">
        <v>2000</v>
      </c>
      <c r="C499" s="664" t="s">
        <v>323</v>
      </c>
      <c r="D499" s="664"/>
      <c r="E499" s="664"/>
      <c r="F499" s="665"/>
      <c r="G499" s="664"/>
      <c r="H499" s="664"/>
      <c r="I499" s="664"/>
      <c r="J499" s="727"/>
      <c r="K499" s="664"/>
      <c r="L499" s="666"/>
    </row>
    <row r="500" spans="1:12" hidden="1" outlineLevel="1" x14ac:dyDescent="0.35">
      <c r="A500" s="483"/>
      <c r="B500" s="762" t="s">
        <v>2000</v>
      </c>
      <c r="C500" s="664" t="s">
        <v>324</v>
      </c>
      <c r="D500" s="664"/>
      <c r="E500" s="664"/>
      <c r="F500" s="665"/>
      <c r="G500" s="664"/>
      <c r="H500" s="664"/>
      <c r="I500" s="664"/>
      <c r="J500" s="727"/>
      <c r="K500" s="664"/>
      <c r="L500" s="666"/>
    </row>
    <row r="501" spans="1:12" hidden="1" outlineLevel="1" x14ac:dyDescent="0.35">
      <c r="A501" s="483"/>
      <c r="B501" s="762" t="s">
        <v>2000</v>
      </c>
      <c r="C501" s="664" t="s">
        <v>325</v>
      </c>
      <c r="D501" s="664"/>
      <c r="E501" s="664"/>
      <c r="F501" s="665"/>
      <c r="G501" s="664"/>
      <c r="H501" s="664"/>
      <c r="I501" s="664"/>
      <c r="J501" s="727"/>
      <c r="K501" s="664"/>
      <c r="L501" s="666"/>
    </row>
    <row r="502" spans="1:12" hidden="1" outlineLevel="1" x14ac:dyDescent="0.35">
      <c r="A502" s="483"/>
      <c r="B502" s="762" t="s">
        <v>2000</v>
      </c>
      <c r="C502" s="664" t="s">
        <v>326</v>
      </c>
      <c r="D502" s="664"/>
      <c r="E502" s="664"/>
      <c r="F502" s="665"/>
      <c r="G502" s="664"/>
      <c r="H502" s="664"/>
      <c r="I502" s="664"/>
      <c r="J502" s="727"/>
      <c r="K502" s="664"/>
      <c r="L502" s="666"/>
    </row>
    <row r="503" spans="1:12" hidden="1" outlineLevel="1" x14ac:dyDescent="0.35">
      <c r="A503" s="483"/>
      <c r="B503" s="762" t="s">
        <v>2000</v>
      </c>
      <c r="C503" s="664" t="s">
        <v>327</v>
      </c>
      <c r="D503" s="664"/>
      <c r="E503" s="664"/>
      <c r="F503" s="665"/>
      <c r="G503" s="664"/>
      <c r="H503" s="664"/>
      <c r="I503" s="664"/>
      <c r="J503" s="727"/>
      <c r="K503" s="664"/>
      <c r="L503" s="666"/>
    </row>
    <row r="504" spans="1:12" hidden="1" outlineLevel="1" x14ac:dyDescent="0.35">
      <c r="A504" s="483"/>
      <c r="B504" s="762" t="s">
        <v>2000</v>
      </c>
      <c r="C504" s="664" t="s">
        <v>328</v>
      </c>
      <c r="D504" s="664"/>
      <c r="E504" s="664"/>
      <c r="F504" s="665"/>
      <c r="G504" s="664"/>
      <c r="H504" s="664"/>
      <c r="I504" s="664"/>
      <c r="J504" s="727"/>
      <c r="K504" s="664"/>
      <c r="L504" s="666"/>
    </row>
    <row r="505" spans="1:12" hidden="1" outlineLevel="1" x14ac:dyDescent="0.35">
      <c r="A505" s="483"/>
      <c r="B505" s="762" t="s">
        <v>2000</v>
      </c>
      <c r="C505" s="664" t="s">
        <v>329</v>
      </c>
      <c r="D505" s="664"/>
      <c r="E505" s="664"/>
      <c r="F505" s="665"/>
      <c r="G505" s="664"/>
      <c r="H505" s="664"/>
      <c r="I505" s="664"/>
      <c r="J505" s="727"/>
      <c r="K505" s="664"/>
      <c r="L505" s="666"/>
    </row>
    <row r="506" spans="1:12" hidden="1" outlineLevel="1" x14ac:dyDescent="0.35">
      <c r="A506" s="483"/>
      <c r="B506" s="762" t="s">
        <v>2000</v>
      </c>
      <c r="C506" s="664" t="s">
        <v>330</v>
      </c>
      <c r="D506" s="664"/>
      <c r="E506" s="664"/>
      <c r="F506" s="665"/>
      <c r="G506" s="664"/>
      <c r="H506" s="664"/>
      <c r="I506" s="664"/>
      <c r="J506" s="727"/>
      <c r="K506" s="664"/>
      <c r="L506" s="666"/>
    </row>
    <row r="507" spans="1:12" hidden="1" outlineLevel="1" x14ac:dyDescent="0.35">
      <c r="A507" s="483"/>
      <c r="B507" s="762" t="s">
        <v>2000</v>
      </c>
      <c r="C507" s="664" t="s">
        <v>331</v>
      </c>
      <c r="D507" s="664"/>
      <c r="E507" s="664"/>
      <c r="F507" s="665"/>
      <c r="G507" s="664"/>
      <c r="H507" s="664"/>
      <c r="I507" s="664"/>
      <c r="J507" s="727"/>
      <c r="K507" s="664"/>
      <c r="L507" s="666"/>
    </row>
    <row r="508" spans="1:12" hidden="1" outlineLevel="1" x14ac:dyDescent="0.35">
      <c r="A508" s="483"/>
      <c r="B508" s="762" t="s">
        <v>2000</v>
      </c>
      <c r="C508" s="664" t="s">
        <v>332</v>
      </c>
      <c r="D508" s="664"/>
      <c r="E508" s="664"/>
      <c r="F508" s="665"/>
      <c r="G508" s="664"/>
      <c r="H508" s="664"/>
      <c r="I508" s="664"/>
      <c r="J508" s="727"/>
      <c r="K508" s="664"/>
      <c r="L508" s="666"/>
    </row>
    <row r="509" spans="1:12" hidden="1" outlineLevel="1" x14ac:dyDescent="0.35">
      <c r="A509" s="483"/>
      <c r="B509" s="762" t="s">
        <v>2000</v>
      </c>
      <c r="C509" s="664" t="s">
        <v>333</v>
      </c>
      <c r="D509" s="664"/>
      <c r="E509" s="664"/>
      <c r="F509" s="665"/>
      <c r="G509" s="664"/>
      <c r="H509" s="664"/>
      <c r="I509" s="664"/>
      <c r="J509" s="727"/>
      <c r="K509" s="664"/>
      <c r="L509" s="666"/>
    </row>
    <row r="510" spans="1:12" hidden="1" outlineLevel="1" x14ac:dyDescent="0.35">
      <c r="A510" s="483"/>
      <c r="B510" s="762" t="s">
        <v>2000</v>
      </c>
      <c r="C510" s="664" t="s">
        <v>334</v>
      </c>
      <c r="D510" s="664"/>
      <c r="E510" s="664"/>
      <c r="F510" s="665"/>
      <c r="G510" s="664"/>
      <c r="H510" s="664"/>
      <c r="I510" s="664"/>
      <c r="J510" s="727"/>
      <c r="K510" s="664"/>
      <c r="L510" s="666"/>
    </row>
    <row r="511" spans="1:12" hidden="1" outlineLevel="1" x14ac:dyDescent="0.35">
      <c r="A511" s="483"/>
      <c r="B511" s="762" t="s">
        <v>2000</v>
      </c>
      <c r="C511" s="664" t="s">
        <v>335</v>
      </c>
      <c r="D511" s="664"/>
      <c r="E511" s="664"/>
      <c r="F511" s="665"/>
      <c r="G511" s="664"/>
      <c r="H511" s="664"/>
      <c r="I511" s="664"/>
      <c r="J511" s="727"/>
      <c r="K511" s="664"/>
      <c r="L511" s="666"/>
    </row>
    <row r="512" spans="1:12" hidden="1" outlineLevel="1" x14ac:dyDescent="0.35">
      <c r="A512" s="483"/>
      <c r="B512" s="762" t="s">
        <v>2000</v>
      </c>
      <c r="C512" s="664" t="s">
        <v>336</v>
      </c>
      <c r="D512" s="664"/>
      <c r="E512" s="664"/>
      <c r="F512" s="665"/>
      <c r="G512" s="664"/>
      <c r="H512" s="664"/>
      <c r="I512" s="664"/>
      <c r="J512" s="727"/>
      <c r="K512" s="664"/>
      <c r="L512" s="666"/>
    </row>
    <row r="513" spans="1:12" hidden="1" outlineLevel="1" x14ac:dyDescent="0.35">
      <c r="A513" s="483"/>
      <c r="B513" s="762" t="s">
        <v>2000</v>
      </c>
      <c r="C513" s="664" t="s">
        <v>337</v>
      </c>
      <c r="D513" s="664"/>
      <c r="E513" s="664"/>
      <c r="F513" s="665"/>
      <c r="G513" s="664"/>
      <c r="H513" s="664"/>
      <c r="I513" s="664"/>
      <c r="J513" s="727"/>
      <c r="K513" s="664"/>
      <c r="L513" s="666"/>
    </row>
    <row r="514" spans="1:12" hidden="1" outlineLevel="1" x14ac:dyDescent="0.35">
      <c r="A514" s="483"/>
      <c r="B514" s="762" t="s">
        <v>2000</v>
      </c>
      <c r="C514" s="664" t="s">
        <v>338</v>
      </c>
      <c r="D514" s="664"/>
      <c r="E514" s="664"/>
      <c r="F514" s="665"/>
      <c r="G514" s="664"/>
      <c r="H514" s="664"/>
      <c r="I514" s="664"/>
      <c r="J514" s="727"/>
      <c r="K514" s="664"/>
      <c r="L514" s="666"/>
    </row>
    <row r="515" spans="1:12" hidden="1" outlineLevel="1" x14ac:dyDescent="0.35">
      <c r="A515" s="483"/>
      <c r="B515" s="762" t="s">
        <v>2000</v>
      </c>
      <c r="C515" s="664" t="s">
        <v>339</v>
      </c>
      <c r="D515" s="664"/>
      <c r="E515" s="664"/>
      <c r="F515" s="665"/>
      <c r="G515" s="664"/>
      <c r="H515" s="664"/>
      <c r="I515" s="664"/>
      <c r="J515" s="727"/>
      <c r="K515" s="664"/>
      <c r="L515" s="666"/>
    </row>
    <row r="516" spans="1:12" hidden="1" outlineLevel="1" x14ac:dyDescent="0.35">
      <c r="A516" s="483"/>
      <c r="B516" s="762" t="s">
        <v>2000</v>
      </c>
      <c r="C516" s="664" t="s">
        <v>340</v>
      </c>
      <c r="D516" s="664"/>
      <c r="E516" s="664"/>
      <c r="F516" s="665"/>
      <c r="G516" s="664"/>
      <c r="H516" s="664"/>
      <c r="I516" s="664"/>
      <c r="J516" s="727"/>
      <c r="K516" s="664"/>
      <c r="L516" s="666"/>
    </row>
    <row r="517" spans="1:12" hidden="1" outlineLevel="1" x14ac:dyDescent="0.35">
      <c r="A517" s="483"/>
      <c r="B517" s="762" t="s">
        <v>2000</v>
      </c>
      <c r="C517" s="664" t="s">
        <v>341</v>
      </c>
      <c r="D517" s="664"/>
      <c r="E517" s="664"/>
      <c r="F517" s="665"/>
      <c r="G517" s="664"/>
      <c r="H517" s="664"/>
      <c r="I517" s="664"/>
      <c r="J517" s="727"/>
      <c r="K517" s="664"/>
      <c r="L517" s="666"/>
    </row>
    <row r="518" spans="1:12" hidden="1" outlineLevel="1" x14ac:dyDescent="0.35">
      <c r="A518" s="483"/>
      <c r="B518" s="762" t="s">
        <v>2000</v>
      </c>
      <c r="C518" s="664" t="s">
        <v>342</v>
      </c>
      <c r="D518" s="664"/>
      <c r="E518" s="664"/>
      <c r="F518" s="665"/>
      <c r="G518" s="664"/>
      <c r="H518" s="664"/>
      <c r="I518" s="664"/>
      <c r="J518" s="727"/>
      <c r="K518" s="664"/>
      <c r="L518" s="666"/>
    </row>
    <row r="519" spans="1:12" hidden="1" outlineLevel="1" x14ac:dyDescent="0.35">
      <c r="A519" s="483"/>
      <c r="B519" s="762" t="s">
        <v>2000</v>
      </c>
      <c r="C519" s="664" t="s">
        <v>343</v>
      </c>
      <c r="D519" s="664"/>
      <c r="E519" s="664"/>
      <c r="F519" s="665"/>
      <c r="G519" s="664"/>
      <c r="H519" s="664"/>
      <c r="I519" s="664"/>
      <c r="J519" s="727"/>
      <c r="K519" s="664"/>
      <c r="L519" s="666"/>
    </row>
    <row r="520" spans="1:12" hidden="1" outlineLevel="1" x14ac:dyDescent="0.35">
      <c r="A520" s="483"/>
      <c r="B520" s="762" t="s">
        <v>2000</v>
      </c>
      <c r="C520" s="664" t="s">
        <v>344</v>
      </c>
      <c r="D520" s="664"/>
      <c r="E520" s="664"/>
      <c r="F520" s="665"/>
      <c r="G520" s="664"/>
      <c r="H520" s="664"/>
      <c r="I520" s="664"/>
      <c r="J520" s="727"/>
      <c r="K520" s="664"/>
      <c r="L520" s="666"/>
    </row>
    <row r="521" spans="1:12" hidden="1" outlineLevel="1" x14ac:dyDescent="0.35">
      <c r="A521" s="483"/>
      <c r="B521" s="762" t="s">
        <v>2000</v>
      </c>
      <c r="C521" s="664" t="s">
        <v>345</v>
      </c>
      <c r="D521" s="664"/>
      <c r="E521" s="664"/>
      <c r="F521" s="665"/>
      <c r="G521" s="664"/>
      <c r="H521" s="664"/>
      <c r="I521" s="664"/>
      <c r="J521" s="727"/>
      <c r="K521" s="664"/>
      <c r="L521" s="666"/>
    </row>
    <row r="522" spans="1:12" hidden="1" outlineLevel="1" x14ac:dyDescent="0.35">
      <c r="A522" s="483"/>
      <c r="B522" s="762" t="s">
        <v>2000</v>
      </c>
      <c r="C522" s="664" t="s">
        <v>346</v>
      </c>
      <c r="D522" s="664"/>
      <c r="E522" s="664"/>
      <c r="F522" s="665"/>
      <c r="G522" s="664"/>
      <c r="H522" s="664"/>
      <c r="I522" s="664"/>
      <c r="J522" s="727"/>
      <c r="K522" s="664"/>
      <c r="L522" s="666"/>
    </row>
    <row r="523" spans="1:12" hidden="1" outlineLevel="1" x14ac:dyDescent="0.35">
      <c r="A523" s="483"/>
      <c r="B523" s="762" t="s">
        <v>2000</v>
      </c>
      <c r="C523" s="664" t="s">
        <v>347</v>
      </c>
      <c r="D523" s="664"/>
      <c r="E523" s="664"/>
      <c r="F523" s="665"/>
      <c r="G523" s="664"/>
      <c r="H523" s="664"/>
      <c r="I523" s="664"/>
      <c r="J523" s="727"/>
      <c r="K523" s="664"/>
      <c r="L523" s="666"/>
    </row>
    <row r="524" spans="1:12" hidden="1" outlineLevel="1" x14ac:dyDescent="0.35">
      <c r="A524" s="483"/>
      <c r="B524" s="762" t="s">
        <v>2000</v>
      </c>
      <c r="C524" s="664" t="s">
        <v>348</v>
      </c>
      <c r="D524" s="664"/>
      <c r="E524" s="664"/>
      <c r="F524" s="665"/>
      <c r="G524" s="664"/>
      <c r="H524" s="664"/>
      <c r="I524" s="664"/>
      <c r="J524" s="727"/>
      <c r="K524" s="664"/>
      <c r="L524" s="666"/>
    </row>
    <row r="525" spans="1:12" hidden="1" outlineLevel="1" x14ac:dyDescent="0.35">
      <c r="A525" s="483"/>
      <c r="B525" s="762" t="s">
        <v>2000</v>
      </c>
      <c r="C525" s="664" t="s">
        <v>349</v>
      </c>
      <c r="D525" s="664"/>
      <c r="E525" s="664"/>
      <c r="F525" s="665"/>
      <c r="G525" s="664"/>
      <c r="H525" s="664"/>
      <c r="I525" s="664"/>
      <c r="J525" s="727"/>
      <c r="K525" s="664"/>
      <c r="L525" s="666"/>
    </row>
    <row r="526" spans="1:12" hidden="1" outlineLevel="1" x14ac:dyDescent="0.35">
      <c r="A526" s="483"/>
      <c r="B526" s="762" t="s">
        <v>2000</v>
      </c>
      <c r="C526" s="664" t="s">
        <v>350</v>
      </c>
      <c r="D526" s="664"/>
      <c r="E526" s="664"/>
      <c r="F526" s="665"/>
      <c r="G526" s="664"/>
      <c r="H526" s="664"/>
      <c r="I526" s="664"/>
      <c r="J526" s="727"/>
      <c r="K526" s="664"/>
      <c r="L526" s="666"/>
    </row>
    <row r="527" spans="1:12" hidden="1" outlineLevel="1" x14ac:dyDescent="0.35">
      <c r="A527" s="483"/>
      <c r="B527" s="762" t="s">
        <v>2000</v>
      </c>
      <c r="C527" s="664" t="s">
        <v>351</v>
      </c>
      <c r="D527" s="664"/>
      <c r="E527" s="664"/>
      <c r="F527" s="665"/>
      <c r="G527" s="664"/>
      <c r="H527" s="664"/>
      <c r="I527" s="664"/>
      <c r="J527" s="727"/>
      <c r="K527" s="664"/>
      <c r="L527" s="666"/>
    </row>
    <row r="528" spans="1:12" hidden="1" outlineLevel="1" x14ac:dyDescent="0.35">
      <c r="A528" s="483"/>
      <c r="B528" s="762" t="s">
        <v>2000</v>
      </c>
      <c r="C528" s="664" t="s">
        <v>352</v>
      </c>
      <c r="D528" s="664"/>
      <c r="E528" s="664"/>
      <c r="F528" s="665"/>
      <c r="G528" s="664"/>
      <c r="H528" s="664"/>
      <c r="I528" s="664"/>
      <c r="J528" s="727"/>
      <c r="K528" s="664"/>
      <c r="L528" s="666"/>
    </row>
    <row r="529" spans="1:12" hidden="1" outlineLevel="1" x14ac:dyDescent="0.35">
      <c r="A529" s="483"/>
      <c r="B529" s="762" t="s">
        <v>2000</v>
      </c>
      <c r="C529" s="664" t="s">
        <v>353</v>
      </c>
      <c r="D529" s="664"/>
      <c r="E529" s="664"/>
      <c r="F529" s="665"/>
      <c r="G529" s="664"/>
      <c r="H529" s="664"/>
      <c r="I529" s="664"/>
      <c r="J529" s="727"/>
      <c r="K529" s="664"/>
      <c r="L529" s="666"/>
    </row>
    <row r="530" spans="1:12" hidden="1" outlineLevel="1" x14ac:dyDescent="0.35">
      <c r="A530" s="483"/>
      <c r="B530" s="762" t="s">
        <v>2000</v>
      </c>
      <c r="C530" s="664" t="s">
        <v>354</v>
      </c>
      <c r="D530" s="664"/>
      <c r="E530" s="664"/>
      <c r="F530" s="665"/>
      <c r="G530" s="664"/>
      <c r="H530" s="664"/>
      <c r="I530" s="664"/>
      <c r="J530" s="727"/>
      <c r="K530" s="664"/>
      <c r="L530" s="666"/>
    </row>
    <row r="531" spans="1:12" hidden="1" outlineLevel="1" x14ac:dyDescent="0.35">
      <c r="A531" s="483"/>
      <c r="B531" s="762" t="s">
        <v>2000</v>
      </c>
      <c r="C531" s="664" t="s">
        <v>355</v>
      </c>
      <c r="D531" s="664"/>
      <c r="E531" s="664"/>
      <c r="F531" s="665"/>
      <c r="G531" s="664"/>
      <c r="H531" s="664"/>
      <c r="I531" s="664"/>
      <c r="J531" s="727"/>
      <c r="K531" s="664"/>
      <c r="L531" s="666"/>
    </row>
    <row r="532" spans="1:12" hidden="1" outlineLevel="1" x14ac:dyDescent="0.35">
      <c r="A532" s="483"/>
      <c r="B532" s="762" t="s">
        <v>2000</v>
      </c>
      <c r="C532" s="664" t="s">
        <v>356</v>
      </c>
      <c r="D532" s="664"/>
      <c r="E532" s="664"/>
      <c r="F532" s="665"/>
      <c r="G532" s="664"/>
      <c r="H532" s="664"/>
      <c r="I532" s="664"/>
      <c r="J532" s="727"/>
      <c r="K532" s="664"/>
      <c r="L532" s="666"/>
    </row>
    <row r="533" spans="1:12" hidden="1" outlineLevel="1" x14ac:dyDescent="0.35">
      <c r="A533" s="483"/>
      <c r="B533" s="762" t="s">
        <v>2000</v>
      </c>
      <c r="C533" s="664" t="s">
        <v>357</v>
      </c>
      <c r="D533" s="664"/>
      <c r="E533" s="664"/>
      <c r="F533" s="665"/>
      <c r="G533" s="664"/>
      <c r="H533" s="664"/>
      <c r="I533" s="664"/>
      <c r="J533" s="727"/>
      <c r="K533" s="664"/>
      <c r="L533" s="666"/>
    </row>
    <row r="534" spans="1:12" hidden="1" outlineLevel="1" x14ac:dyDescent="0.35">
      <c r="A534" s="483"/>
      <c r="B534" s="762" t="s">
        <v>2000</v>
      </c>
      <c r="C534" s="664" t="s">
        <v>358</v>
      </c>
      <c r="D534" s="664"/>
      <c r="E534" s="664"/>
      <c r="F534" s="665"/>
      <c r="G534" s="664"/>
      <c r="H534" s="664"/>
      <c r="I534" s="664"/>
      <c r="J534" s="727"/>
      <c r="K534" s="664"/>
      <c r="L534" s="666"/>
    </row>
    <row r="535" spans="1:12" hidden="1" outlineLevel="1" x14ac:dyDescent="0.35">
      <c r="A535" s="483"/>
      <c r="B535" s="762" t="s">
        <v>2000</v>
      </c>
      <c r="C535" s="664" t="s">
        <v>359</v>
      </c>
      <c r="D535" s="664"/>
      <c r="E535" s="664"/>
      <c r="F535" s="665"/>
      <c r="G535" s="664"/>
      <c r="H535" s="664"/>
      <c r="I535" s="664"/>
      <c r="J535" s="727"/>
      <c r="K535" s="664"/>
      <c r="L535" s="666"/>
    </row>
    <row r="536" spans="1:12" hidden="1" outlineLevel="1" x14ac:dyDescent="0.35">
      <c r="A536" s="483"/>
      <c r="B536" s="762" t="s">
        <v>2000</v>
      </c>
      <c r="C536" s="664" t="s">
        <v>360</v>
      </c>
      <c r="D536" s="664"/>
      <c r="E536" s="664"/>
      <c r="F536" s="665"/>
      <c r="G536" s="664"/>
      <c r="H536" s="664"/>
      <c r="I536" s="664"/>
      <c r="J536" s="727"/>
      <c r="K536" s="664"/>
      <c r="L536" s="666"/>
    </row>
    <row r="537" spans="1:12" hidden="1" outlineLevel="1" x14ac:dyDescent="0.35">
      <c r="A537" s="483"/>
      <c r="B537" s="762" t="s">
        <v>2000</v>
      </c>
      <c r="C537" s="664" t="s">
        <v>361</v>
      </c>
      <c r="D537" s="664"/>
      <c r="E537" s="664"/>
      <c r="F537" s="665"/>
      <c r="G537" s="664"/>
      <c r="H537" s="664"/>
      <c r="I537" s="664"/>
      <c r="J537" s="727"/>
      <c r="K537" s="664"/>
      <c r="L537" s="666"/>
    </row>
    <row r="538" spans="1:12" hidden="1" outlineLevel="1" x14ac:dyDescent="0.35">
      <c r="A538" s="483"/>
      <c r="B538" s="762" t="s">
        <v>2000</v>
      </c>
      <c r="C538" s="664" t="s">
        <v>362</v>
      </c>
      <c r="D538" s="664"/>
      <c r="E538" s="664"/>
      <c r="F538" s="665"/>
      <c r="G538" s="664"/>
      <c r="H538" s="664"/>
      <c r="I538" s="664"/>
      <c r="J538" s="727"/>
      <c r="K538" s="664"/>
      <c r="L538" s="666"/>
    </row>
    <row r="539" spans="1:12" hidden="1" outlineLevel="1" x14ac:dyDescent="0.35">
      <c r="A539" s="483"/>
      <c r="B539" s="762" t="s">
        <v>2000</v>
      </c>
      <c r="C539" s="664" t="s">
        <v>363</v>
      </c>
      <c r="D539" s="664"/>
      <c r="E539" s="664"/>
      <c r="F539" s="665"/>
      <c r="G539" s="664"/>
      <c r="H539" s="664"/>
      <c r="I539" s="664"/>
      <c r="J539" s="727"/>
      <c r="K539" s="664"/>
      <c r="L539" s="666"/>
    </row>
    <row r="540" spans="1:12" hidden="1" outlineLevel="1" x14ac:dyDescent="0.35">
      <c r="A540" s="483"/>
      <c r="B540" s="762" t="s">
        <v>2000</v>
      </c>
      <c r="C540" s="664" t="s">
        <v>364</v>
      </c>
      <c r="D540" s="664"/>
      <c r="E540" s="664"/>
      <c r="F540" s="665"/>
      <c r="G540" s="664"/>
      <c r="H540" s="664"/>
      <c r="I540" s="664"/>
      <c r="J540" s="727"/>
      <c r="K540" s="664"/>
      <c r="L540" s="666"/>
    </row>
    <row r="541" spans="1:12" hidden="1" outlineLevel="1" x14ac:dyDescent="0.35">
      <c r="A541" s="483"/>
      <c r="B541" s="762" t="s">
        <v>2000</v>
      </c>
      <c r="C541" s="664" t="s">
        <v>365</v>
      </c>
      <c r="D541" s="664"/>
      <c r="E541" s="664"/>
      <c r="F541" s="665"/>
      <c r="G541" s="664"/>
      <c r="H541" s="664"/>
      <c r="I541" s="664"/>
      <c r="J541" s="727"/>
      <c r="K541" s="664"/>
      <c r="L541" s="666"/>
    </row>
    <row r="542" spans="1:12" hidden="1" outlineLevel="1" x14ac:dyDescent="0.35">
      <c r="A542" s="483"/>
      <c r="B542" s="762" t="s">
        <v>2000</v>
      </c>
      <c r="C542" s="664" t="s">
        <v>366</v>
      </c>
      <c r="D542" s="664"/>
      <c r="E542" s="664"/>
      <c r="F542" s="665"/>
      <c r="G542" s="664"/>
      <c r="H542" s="664"/>
      <c r="I542" s="664"/>
      <c r="J542" s="727"/>
      <c r="K542" s="664"/>
      <c r="L542" s="666"/>
    </row>
    <row r="543" spans="1:12" hidden="1" outlineLevel="1" x14ac:dyDescent="0.35">
      <c r="A543" s="483"/>
      <c r="B543" s="762" t="s">
        <v>2000</v>
      </c>
      <c r="C543" s="664" t="s">
        <v>367</v>
      </c>
      <c r="D543" s="664"/>
      <c r="E543" s="664"/>
      <c r="F543" s="665"/>
      <c r="G543" s="664"/>
      <c r="H543" s="664"/>
      <c r="I543" s="664"/>
      <c r="J543" s="727"/>
      <c r="K543" s="664"/>
      <c r="L543" s="666"/>
    </row>
    <row r="544" spans="1:12" hidden="1" outlineLevel="1" x14ac:dyDescent="0.35">
      <c r="A544" s="483"/>
      <c r="B544" s="762" t="s">
        <v>2000</v>
      </c>
      <c r="C544" s="664" t="s">
        <v>368</v>
      </c>
      <c r="D544" s="664"/>
      <c r="E544" s="664"/>
      <c r="F544" s="665"/>
      <c r="G544" s="664"/>
      <c r="H544" s="664"/>
      <c r="I544" s="664"/>
      <c r="J544" s="727"/>
      <c r="K544" s="664"/>
      <c r="L544" s="666"/>
    </row>
    <row r="545" spans="1:12" hidden="1" outlineLevel="1" x14ac:dyDescent="0.35">
      <c r="A545" s="483"/>
      <c r="B545" s="762" t="s">
        <v>2000</v>
      </c>
      <c r="C545" s="664" t="s">
        <v>369</v>
      </c>
      <c r="D545" s="664"/>
      <c r="E545" s="664"/>
      <c r="F545" s="665"/>
      <c r="G545" s="664"/>
      <c r="H545" s="664"/>
      <c r="I545" s="664"/>
      <c r="J545" s="727"/>
      <c r="K545" s="664"/>
      <c r="L545" s="666"/>
    </row>
    <row r="546" spans="1:12" hidden="1" outlineLevel="1" x14ac:dyDescent="0.35">
      <c r="A546" s="483"/>
      <c r="B546" s="762" t="s">
        <v>2000</v>
      </c>
      <c r="C546" s="664" t="s">
        <v>370</v>
      </c>
      <c r="D546" s="664"/>
      <c r="E546" s="664"/>
      <c r="F546" s="665"/>
      <c r="G546" s="664"/>
      <c r="H546" s="664"/>
      <c r="I546" s="664"/>
      <c r="J546" s="727"/>
      <c r="K546" s="664"/>
      <c r="L546" s="666"/>
    </row>
    <row r="547" spans="1:12" hidden="1" outlineLevel="1" x14ac:dyDescent="0.35">
      <c r="A547" s="483"/>
      <c r="B547" s="762" t="s">
        <v>2000</v>
      </c>
      <c r="C547" s="664" t="s">
        <v>371</v>
      </c>
      <c r="D547" s="664"/>
      <c r="E547" s="664"/>
      <c r="F547" s="665"/>
      <c r="G547" s="664"/>
      <c r="H547" s="664"/>
      <c r="I547" s="664"/>
      <c r="J547" s="727"/>
      <c r="K547" s="664"/>
      <c r="L547" s="666"/>
    </row>
    <row r="548" spans="1:12" hidden="1" outlineLevel="1" x14ac:dyDescent="0.35">
      <c r="A548" s="483"/>
      <c r="B548" s="762" t="s">
        <v>2000</v>
      </c>
      <c r="C548" s="664" t="s">
        <v>372</v>
      </c>
      <c r="D548" s="664"/>
      <c r="E548" s="664"/>
      <c r="F548" s="665"/>
      <c r="G548" s="664"/>
      <c r="H548" s="664"/>
      <c r="I548" s="664"/>
      <c r="J548" s="727"/>
      <c r="K548" s="664"/>
      <c r="L548" s="666"/>
    </row>
    <row r="549" spans="1:12" hidden="1" outlineLevel="1" x14ac:dyDescent="0.35">
      <c r="A549" s="483"/>
      <c r="B549" s="762" t="s">
        <v>2000</v>
      </c>
      <c r="C549" s="664" t="s">
        <v>373</v>
      </c>
      <c r="D549" s="664"/>
      <c r="E549" s="664"/>
      <c r="F549" s="665"/>
      <c r="G549" s="664"/>
      <c r="H549" s="664"/>
      <c r="I549" s="664"/>
      <c r="J549" s="727"/>
      <c r="K549" s="664"/>
      <c r="L549" s="666"/>
    </row>
    <row r="550" spans="1:12" hidden="1" outlineLevel="1" x14ac:dyDescent="0.35">
      <c r="A550" s="483"/>
      <c r="B550" s="762" t="s">
        <v>2000</v>
      </c>
      <c r="C550" s="664" t="s">
        <v>374</v>
      </c>
      <c r="D550" s="664"/>
      <c r="E550" s="664"/>
      <c r="F550" s="665"/>
      <c r="G550" s="664"/>
      <c r="H550" s="664"/>
      <c r="I550" s="664"/>
      <c r="J550" s="727"/>
      <c r="K550" s="664"/>
      <c r="L550" s="666"/>
    </row>
    <row r="551" spans="1:12" hidden="1" outlineLevel="1" x14ac:dyDescent="0.35">
      <c r="A551" s="483"/>
      <c r="B551" s="762" t="s">
        <v>2000</v>
      </c>
      <c r="C551" s="664" t="s">
        <v>375</v>
      </c>
      <c r="D551" s="664"/>
      <c r="E551" s="664"/>
      <c r="F551" s="665"/>
      <c r="G551" s="664"/>
      <c r="H551" s="664"/>
      <c r="I551" s="664"/>
      <c r="J551" s="727"/>
      <c r="K551" s="664"/>
      <c r="L551" s="666"/>
    </row>
    <row r="552" spans="1:12" hidden="1" outlineLevel="1" x14ac:dyDescent="0.35">
      <c r="A552" s="483"/>
      <c r="B552" s="762" t="s">
        <v>2000</v>
      </c>
      <c r="C552" s="664" t="s">
        <v>376</v>
      </c>
      <c r="D552" s="664"/>
      <c r="E552" s="664"/>
      <c r="F552" s="665"/>
      <c r="G552" s="664"/>
      <c r="H552" s="664"/>
      <c r="I552" s="664"/>
      <c r="J552" s="727"/>
      <c r="K552" s="664"/>
      <c r="L552" s="666"/>
    </row>
    <row r="553" spans="1:12" hidden="1" outlineLevel="1" x14ac:dyDescent="0.35">
      <c r="A553" s="483"/>
      <c r="B553" s="762" t="s">
        <v>2000</v>
      </c>
      <c r="C553" s="664" t="s">
        <v>377</v>
      </c>
      <c r="D553" s="664"/>
      <c r="E553" s="664"/>
      <c r="F553" s="665"/>
      <c r="G553" s="664"/>
      <c r="H553" s="664"/>
      <c r="I553" s="664"/>
      <c r="J553" s="727"/>
      <c r="K553" s="664"/>
      <c r="L553" s="666"/>
    </row>
    <row r="554" spans="1:12" hidden="1" outlineLevel="1" x14ac:dyDescent="0.35">
      <c r="A554" s="483"/>
      <c r="B554" s="762" t="s">
        <v>2000</v>
      </c>
      <c r="C554" s="664" t="s">
        <v>378</v>
      </c>
      <c r="D554" s="664"/>
      <c r="E554" s="664"/>
      <c r="F554" s="665"/>
      <c r="G554" s="664"/>
      <c r="H554" s="664"/>
      <c r="I554" s="664"/>
      <c r="J554" s="727"/>
      <c r="K554" s="664"/>
      <c r="L554" s="666"/>
    </row>
    <row r="555" spans="1:12" hidden="1" outlineLevel="1" x14ac:dyDescent="0.35">
      <c r="A555" s="483"/>
      <c r="B555" s="762" t="s">
        <v>2000</v>
      </c>
      <c r="C555" s="664" t="s">
        <v>379</v>
      </c>
      <c r="D555" s="664"/>
      <c r="E555" s="664"/>
      <c r="F555" s="665"/>
      <c r="G555" s="664"/>
      <c r="H555" s="664"/>
      <c r="I555" s="664"/>
      <c r="J555" s="727"/>
      <c r="K555" s="664"/>
      <c r="L555" s="666"/>
    </row>
    <row r="556" spans="1:12" hidden="1" outlineLevel="1" x14ac:dyDescent="0.35">
      <c r="A556" s="483"/>
      <c r="B556" s="762" t="s">
        <v>2000</v>
      </c>
      <c r="C556" s="664" t="s">
        <v>380</v>
      </c>
      <c r="D556" s="664"/>
      <c r="E556" s="664"/>
      <c r="F556" s="665"/>
      <c r="G556" s="664"/>
      <c r="H556" s="664"/>
      <c r="I556" s="664"/>
      <c r="J556" s="727"/>
      <c r="K556" s="664"/>
      <c r="L556" s="666"/>
    </row>
    <row r="557" spans="1:12" hidden="1" outlineLevel="1" x14ac:dyDescent="0.35">
      <c r="A557" s="483"/>
      <c r="B557" s="762" t="s">
        <v>2000</v>
      </c>
      <c r="C557" s="664" t="s">
        <v>381</v>
      </c>
      <c r="D557" s="664"/>
      <c r="E557" s="664"/>
      <c r="F557" s="665"/>
      <c r="G557" s="664"/>
      <c r="H557" s="664"/>
      <c r="I557" s="664"/>
      <c r="J557" s="727"/>
      <c r="K557" s="664"/>
      <c r="L557" s="666"/>
    </row>
    <row r="558" spans="1:12" hidden="1" outlineLevel="1" x14ac:dyDescent="0.35">
      <c r="A558" s="483"/>
      <c r="B558" s="762" t="s">
        <v>2000</v>
      </c>
      <c r="C558" s="664" t="s">
        <v>382</v>
      </c>
      <c r="D558" s="664"/>
      <c r="E558" s="664"/>
      <c r="F558" s="665"/>
      <c r="G558" s="664"/>
      <c r="H558" s="664"/>
      <c r="I558" s="664"/>
      <c r="J558" s="727"/>
      <c r="K558" s="664"/>
      <c r="L558" s="666"/>
    </row>
    <row r="559" spans="1:12" hidden="1" outlineLevel="1" x14ac:dyDescent="0.35">
      <c r="A559" s="483"/>
      <c r="B559" s="762" t="s">
        <v>2000</v>
      </c>
      <c r="C559" s="664" t="s">
        <v>383</v>
      </c>
      <c r="D559" s="664"/>
      <c r="E559" s="664"/>
      <c r="F559" s="665"/>
      <c r="G559" s="664"/>
      <c r="H559" s="664"/>
      <c r="I559" s="664"/>
      <c r="J559" s="727"/>
      <c r="K559" s="664"/>
      <c r="L559" s="666"/>
    </row>
    <row r="560" spans="1:12" hidden="1" outlineLevel="1" x14ac:dyDescent="0.35">
      <c r="A560" s="483"/>
      <c r="B560" s="762" t="s">
        <v>2000</v>
      </c>
      <c r="C560" s="664" t="s">
        <v>384</v>
      </c>
      <c r="D560" s="664"/>
      <c r="E560" s="664"/>
      <c r="F560" s="665"/>
      <c r="G560" s="664"/>
      <c r="H560" s="664"/>
      <c r="I560" s="664"/>
      <c r="J560" s="727"/>
      <c r="K560" s="664"/>
      <c r="L560" s="666"/>
    </row>
    <row r="561" spans="1:12" hidden="1" outlineLevel="1" x14ac:dyDescent="0.35">
      <c r="A561" s="483"/>
      <c r="B561" s="762" t="s">
        <v>2000</v>
      </c>
      <c r="C561" s="664" t="s">
        <v>385</v>
      </c>
      <c r="D561" s="664"/>
      <c r="E561" s="664"/>
      <c r="F561" s="665"/>
      <c r="G561" s="664"/>
      <c r="H561" s="664"/>
      <c r="I561" s="664"/>
      <c r="J561" s="727"/>
      <c r="K561" s="664"/>
      <c r="L561" s="666"/>
    </row>
    <row r="562" spans="1:12" hidden="1" outlineLevel="1" x14ac:dyDescent="0.35">
      <c r="A562" s="483"/>
      <c r="B562" s="762" t="s">
        <v>2000</v>
      </c>
      <c r="C562" s="664" t="s">
        <v>386</v>
      </c>
      <c r="D562" s="664"/>
      <c r="E562" s="664"/>
      <c r="F562" s="665"/>
      <c r="G562" s="664"/>
      <c r="H562" s="664"/>
      <c r="I562" s="664"/>
      <c r="J562" s="727"/>
      <c r="K562" s="664"/>
      <c r="L562" s="666"/>
    </row>
    <row r="563" spans="1:12" hidden="1" outlineLevel="1" x14ac:dyDescent="0.35">
      <c r="A563" s="483"/>
      <c r="B563" s="762" t="s">
        <v>2000</v>
      </c>
      <c r="C563" s="664" t="s">
        <v>387</v>
      </c>
      <c r="D563" s="664"/>
      <c r="E563" s="664"/>
      <c r="F563" s="665"/>
      <c r="G563" s="664"/>
      <c r="H563" s="664"/>
      <c r="I563" s="664"/>
      <c r="J563" s="727"/>
      <c r="K563" s="664"/>
      <c r="L563" s="666"/>
    </row>
    <row r="564" spans="1:12" hidden="1" outlineLevel="1" x14ac:dyDescent="0.35">
      <c r="A564" s="483"/>
      <c r="B564" s="762" t="s">
        <v>2000</v>
      </c>
      <c r="C564" s="664" t="s">
        <v>388</v>
      </c>
      <c r="D564" s="664"/>
      <c r="E564" s="664"/>
      <c r="F564" s="665"/>
      <c r="G564" s="664"/>
      <c r="H564" s="664"/>
      <c r="I564" s="664"/>
      <c r="J564" s="727"/>
      <c r="K564" s="664"/>
      <c r="L564" s="666"/>
    </row>
    <row r="565" spans="1:12" hidden="1" outlineLevel="1" x14ac:dyDescent="0.35">
      <c r="A565" s="483"/>
      <c r="B565" s="762" t="s">
        <v>2000</v>
      </c>
      <c r="C565" s="664" t="s">
        <v>389</v>
      </c>
      <c r="D565" s="664"/>
      <c r="E565" s="664"/>
      <c r="F565" s="665"/>
      <c r="G565" s="664"/>
      <c r="H565" s="664"/>
      <c r="I565" s="664"/>
      <c r="J565" s="727"/>
      <c r="K565" s="664"/>
      <c r="L565" s="666"/>
    </row>
    <row r="566" spans="1:12" hidden="1" outlineLevel="1" x14ac:dyDescent="0.35">
      <c r="A566" s="483"/>
      <c r="B566" s="762" t="s">
        <v>2000</v>
      </c>
      <c r="C566" s="664" t="s">
        <v>390</v>
      </c>
      <c r="D566" s="664"/>
      <c r="E566" s="664"/>
      <c r="F566" s="665"/>
      <c r="G566" s="664"/>
      <c r="H566" s="664"/>
      <c r="I566" s="664"/>
      <c r="J566" s="727"/>
      <c r="K566" s="664"/>
      <c r="L566" s="666"/>
    </row>
    <row r="567" spans="1:12" hidden="1" outlineLevel="1" x14ac:dyDescent="0.35">
      <c r="A567" s="483"/>
      <c r="B567" s="762" t="s">
        <v>2000</v>
      </c>
      <c r="C567" s="664" t="s">
        <v>391</v>
      </c>
      <c r="D567" s="664"/>
      <c r="E567" s="664"/>
      <c r="F567" s="665"/>
      <c r="G567" s="664"/>
      <c r="H567" s="664"/>
      <c r="I567" s="664"/>
      <c r="J567" s="727"/>
      <c r="K567" s="664"/>
      <c r="L567" s="666"/>
    </row>
    <row r="568" spans="1:12" hidden="1" outlineLevel="1" x14ac:dyDescent="0.35">
      <c r="A568" s="483"/>
      <c r="B568" s="762" t="s">
        <v>2000</v>
      </c>
      <c r="C568" s="664" t="s">
        <v>392</v>
      </c>
      <c r="D568" s="664"/>
      <c r="E568" s="664"/>
      <c r="F568" s="665"/>
      <c r="G568" s="664"/>
      <c r="H568" s="664"/>
      <c r="I568" s="664"/>
      <c r="J568" s="727"/>
      <c r="K568" s="664"/>
      <c r="L568" s="666"/>
    </row>
    <row r="569" spans="1:12" hidden="1" outlineLevel="1" x14ac:dyDescent="0.35">
      <c r="A569" s="483"/>
      <c r="B569" s="762" t="s">
        <v>2000</v>
      </c>
      <c r="C569" s="664" t="s">
        <v>393</v>
      </c>
      <c r="D569" s="664"/>
      <c r="E569" s="664"/>
      <c r="F569" s="665"/>
      <c r="G569" s="664"/>
      <c r="H569" s="664"/>
      <c r="I569" s="664"/>
      <c r="J569" s="727"/>
      <c r="K569" s="664"/>
      <c r="L569" s="666"/>
    </row>
    <row r="570" spans="1:12" hidden="1" outlineLevel="1" x14ac:dyDescent="0.35">
      <c r="A570" s="483"/>
      <c r="B570" s="762" t="s">
        <v>2000</v>
      </c>
      <c r="C570" s="664" t="s">
        <v>394</v>
      </c>
      <c r="D570" s="664"/>
      <c r="E570" s="664"/>
      <c r="F570" s="665"/>
      <c r="G570" s="664"/>
      <c r="H570" s="664"/>
      <c r="I570" s="664"/>
      <c r="J570" s="727"/>
      <c r="K570" s="664"/>
      <c r="L570" s="666"/>
    </row>
    <row r="571" spans="1:12" hidden="1" outlineLevel="1" x14ac:dyDescent="0.35">
      <c r="A571" s="483"/>
      <c r="B571" s="762" t="s">
        <v>2000</v>
      </c>
      <c r="C571" s="664" t="s">
        <v>395</v>
      </c>
      <c r="D571" s="664"/>
      <c r="E571" s="664"/>
      <c r="F571" s="665"/>
      <c r="G571" s="664"/>
      <c r="H571" s="664"/>
      <c r="I571" s="664"/>
      <c r="J571" s="727"/>
      <c r="K571" s="664"/>
      <c r="L571" s="666"/>
    </row>
    <row r="572" spans="1:12" hidden="1" outlineLevel="1" x14ac:dyDescent="0.35">
      <c r="A572" s="483"/>
      <c r="B572" s="762" t="s">
        <v>2000</v>
      </c>
      <c r="C572" s="664" t="s">
        <v>396</v>
      </c>
      <c r="D572" s="664"/>
      <c r="E572" s="664"/>
      <c r="F572" s="665"/>
      <c r="G572" s="664"/>
      <c r="H572" s="664"/>
      <c r="I572" s="664"/>
      <c r="J572" s="727"/>
      <c r="K572" s="664"/>
      <c r="L572" s="666"/>
    </row>
    <row r="573" spans="1:12" hidden="1" outlineLevel="1" x14ac:dyDescent="0.35">
      <c r="A573" s="483"/>
      <c r="B573" s="762" t="s">
        <v>2000</v>
      </c>
      <c r="C573" s="664" t="s">
        <v>397</v>
      </c>
      <c r="D573" s="664"/>
      <c r="E573" s="664"/>
      <c r="F573" s="665"/>
      <c r="G573" s="664"/>
      <c r="H573" s="664"/>
      <c r="I573" s="664"/>
      <c r="J573" s="727"/>
      <c r="K573" s="664"/>
      <c r="L573" s="666"/>
    </row>
    <row r="574" spans="1:12" hidden="1" outlineLevel="1" x14ac:dyDescent="0.35">
      <c r="A574" s="483"/>
      <c r="B574" s="762" t="s">
        <v>2000</v>
      </c>
      <c r="C574" s="664" t="s">
        <v>398</v>
      </c>
      <c r="D574" s="664"/>
      <c r="E574" s="664"/>
      <c r="F574" s="665"/>
      <c r="G574" s="664"/>
      <c r="H574" s="664"/>
      <c r="I574" s="664"/>
      <c r="J574" s="727"/>
      <c r="K574" s="664"/>
      <c r="L574" s="666"/>
    </row>
    <row r="575" spans="1:12" hidden="1" outlineLevel="1" x14ac:dyDescent="0.35">
      <c r="A575" s="483"/>
      <c r="B575" s="762" t="s">
        <v>2000</v>
      </c>
      <c r="C575" s="664" t="s">
        <v>399</v>
      </c>
      <c r="D575" s="664"/>
      <c r="E575" s="664"/>
      <c r="F575" s="665"/>
      <c r="G575" s="664"/>
      <c r="H575" s="664"/>
      <c r="I575" s="664"/>
      <c r="J575" s="727"/>
      <c r="K575" s="664"/>
      <c r="L575" s="666"/>
    </row>
    <row r="576" spans="1:12" hidden="1" outlineLevel="1" x14ac:dyDescent="0.35">
      <c r="A576" s="483"/>
      <c r="B576" s="762" t="s">
        <v>2000</v>
      </c>
      <c r="C576" s="664" t="s">
        <v>400</v>
      </c>
      <c r="D576" s="664"/>
      <c r="E576" s="664"/>
      <c r="F576" s="665"/>
      <c r="G576" s="664"/>
      <c r="H576" s="664"/>
      <c r="I576" s="664"/>
      <c r="J576" s="727"/>
      <c r="K576" s="664"/>
      <c r="L576" s="666"/>
    </row>
    <row r="577" spans="1:12" hidden="1" outlineLevel="1" x14ac:dyDescent="0.35">
      <c r="A577" s="483"/>
      <c r="B577" s="762" t="s">
        <v>2000</v>
      </c>
      <c r="C577" s="664" t="s">
        <v>401</v>
      </c>
      <c r="D577" s="664"/>
      <c r="E577" s="664"/>
      <c r="F577" s="665"/>
      <c r="G577" s="664"/>
      <c r="H577" s="664"/>
      <c r="I577" s="664"/>
      <c r="J577" s="727"/>
      <c r="K577" s="664"/>
      <c r="L577" s="666"/>
    </row>
    <row r="578" spans="1:12" hidden="1" outlineLevel="1" x14ac:dyDescent="0.35">
      <c r="A578" s="483"/>
      <c r="B578" s="762" t="s">
        <v>2000</v>
      </c>
      <c r="C578" s="664" t="s">
        <v>402</v>
      </c>
      <c r="D578" s="664"/>
      <c r="E578" s="664"/>
      <c r="F578" s="665"/>
      <c r="G578" s="664"/>
      <c r="H578" s="664"/>
      <c r="I578" s="664"/>
      <c r="J578" s="727"/>
      <c r="K578" s="664"/>
      <c r="L578" s="666"/>
    </row>
    <row r="579" spans="1:12" hidden="1" outlineLevel="1" x14ac:dyDescent="0.35">
      <c r="A579" s="483"/>
      <c r="B579" s="762" t="s">
        <v>2000</v>
      </c>
      <c r="C579" s="664" t="s">
        <v>403</v>
      </c>
      <c r="D579" s="664"/>
      <c r="E579" s="664"/>
      <c r="F579" s="665"/>
      <c r="G579" s="664"/>
      <c r="H579" s="664"/>
      <c r="I579" s="664"/>
      <c r="J579" s="727"/>
      <c r="K579" s="664"/>
      <c r="L579" s="666"/>
    </row>
    <row r="580" spans="1:12" hidden="1" outlineLevel="1" x14ac:dyDescent="0.35">
      <c r="A580" s="483"/>
      <c r="B580" s="762" t="s">
        <v>2000</v>
      </c>
      <c r="C580" s="664" t="s">
        <v>404</v>
      </c>
      <c r="D580" s="664"/>
      <c r="E580" s="664"/>
      <c r="F580" s="665"/>
      <c r="G580" s="664"/>
      <c r="H580" s="664"/>
      <c r="I580" s="664"/>
      <c r="J580" s="727"/>
      <c r="K580" s="664"/>
      <c r="L580" s="666"/>
    </row>
    <row r="581" spans="1:12" hidden="1" outlineLevel="1" x14ac:dyDescent="0.35">
      <c r="A581" s="483"/>
      <c r="B581" s="762" t="s">
        <v>2000</v>
      </c>
      <c r="C581" s="664" t="s">
        <v>405</v>
      </c>
      <c r="D581" s="664"/>
      <c r="E581" s="664"/>
      <c r="F581" s="665"/>
      <c r="G581" s="664"/>
      <c r="H581" s="664"/>
      <c r="I581" s="664"/>
      <c r="J581" s="727"/>
      <c r="K581" s="664"/>
      <c r="L581" s="666"/>
    </row>
    <row r="582" spans="1:12" hidden="1" outlineLevel="1" x14ac:dyDescent="0.35">
      <c r="A582" s="483"/>
      <c r="B582" s="762" t="s">
        <v>2000</v>
      </c>
      <c r="C582" s="664" t="s">
        <v>406</v>
      </c>
      <c r="D582" s="664"/>
      <c r="E582" s="664"/>
      <c r="F582" s="665"/>
      <c r="G582" s="664"/>
      <c r="H582" s="664"/>
      <c r="I582" s="664"/>
      <c r="J582" s="727"/>
      <c r="K582" s="664"/>
      <c r="L582" s="666"/>
    </row>
    <row r="583" spans="1:12" hidden="1" outlineLevel="1" x14ac:dyDescent="0.35">
      <c r="A583" s="483"/>
      <c r="B583" s="762" t="s">
        <v>2000</v>
      </c>
      <c r="C583" s="664" t="s">
        <v>407</v>
      </c>
      <c r="D583" s="664"/>
      <c r="E583" s="664"/>
      <c r="F583" s="665"/>
      <c r="G583" s="664"/>
      <c r="H583" s="664"/>
      <c r="I583" s="664"/>
      <c r="J583" s="727"/>
      <c r="K583" s="664"/>
      <c r="L583" s="666"/>
    </row>
    <row r="584" spans="1:12" hidden="1" outlineLevel="1" x14ac:dyDescent="0.35">
      <c r="A584" s="483"/>
      <c r="B584" s="762" t="s">
        <v>2000</v>
      </c>
      <c r="C584" s="664" t="s">
        <v>408</v>
      </c>
      <c r="D584" s="664"/>
      <c r="E584" s="664"/>
      <c r="F584" s="665"/>
      <c r="G584" s="664"/>
      <c r="H584" s="664"/>
      <c r="I584" s="664"/>
      <c r="J584" s="727"/>
      <c r="K584" s="664"/>
      <c r="L584" s="666"/>
    </row>
    <row r="585" spans="1:12" hidden="1" outlineLevel="1" x14ac:dyDescent="0.35">
      <c r="A585" s="483"/>
      <c r="B585" s="762" t="s">
        <v>2000</v>
      </c>
      <c r="C585" s="664" t="s">
        <v>409</v>
      </c>
      <c r="D585" s="664"/>
      <c r="E585" s="664"/>
      <c r="F585" s="665"/>
      <c r="G585" s="664"/>
      <c r="H585" s="664"/>
      <c r="I585" s="664"/>
      <c r="J585" s="727"/>
      <c r="K585" s="664"/>
      <c r="L585" s="666"/>
    </row>
    <row r="586" spans="1:12" hidden="1" outlineLevel="1" x14ac:dyDescent="0.35">
      <c r="A586" s="483"/>
      <c r="B586" s="762" t="s">
        <v>2000</v>
      </c>
      <c r="C586" s="664" t="s">
        <v>410</v>
      </c>
      <c r="D586" s="664"/>
      <c r="E586" s="664"/>
      <c r="F586" s="665"/>
      <c r="G586" s="664"/>
      <c r="H586" s="664"/>
      <c r="I586" s="664"/>
      <c r="J586" s="727"/>
      <c r="K586" s="664"/>
      <c r="L586" s="666"/>
    </row>
    <row r="587" spans="1:12" hidden="1" outlineLevel="1" x14ac:dyDescent="0.35">
      <c r="A587" s="483"/>
      <c r="B587" s="762" t="s">
        <v>2000</v>
      </c>
      <c r="C587" s="664" t="s">
        <v>411</v>
      </c>
      <c r="D587" s="664"/>
      <c r="E587" s="664"/>
      <c r="F587" s="665"/>
      <c r="G587" s="664"/>
      <c r="H587" s="664"/>
      <c r="I587" s="664"/>
      <c r="J587" s="727"/>
      <c r="K587" s="664"/>
      <c r="L587" s="666"/>
    </row>
    <row r="588" spans="1:12" hidden="1" outlineLevel="1" x14ac:dyDescent="0.35">
      <c r="A588" s="483"/>
      <c r="B588" s="762" t="s">
        <v>2000</v>
      </c>
      <c r="C588" s="664" t="s">
        <v>412</v>
      </c>
      <c r="D588" s="664"/>
      <c r="E588" s="664"/>
      <c r="F588" s="665"/>
      <c r="G588" s="664"/>
      <c r="H588" s="664"/>
      <c r="I588" s="664"/>
      <c r="J588" s="727"/>
      <c r="K588" s="664"/>
      <c r="L588" s="666"/>
    </row>
    <row r="589" spans="1:12" hidden="1" outlineLevel="1" x14ac:dyDescent="0.35">
      <c r="A589" s="483"/>
      <c r="B589" s="762" t="s">
        <v>2000</v>
      </c>
      <c r="C589" s="664" t="s">
        <v>413</v>
      </c>
      <c r="D589" s="664"/>
      <c r="E589" s="664"/>
      <c r="F589" s="665"/>
      <c r="G589" s="664"/>
      <c r="H589" s="664"/>
      <c r="I589" s="664"/>
      <c r="J589" s="727"/>
      <c r="K589" s="664"/>
      <c r="L589" s="666"/>
    </row>
    <row r="590" spans="1:12" hidden="1" outlineLevel="1" x14ac:dyDescent="0.35">
      <c r="A590" s="483"/>
      <c r="B590" s="762" t="s">
        <v>2000</v>
      </c>
      <c r="C590" s="664" t="s">
        <v>414</v>
      </c>
      <c r="D590" s="664"/>
      <c r="E590" s="664"/>
      <c r="F590" s="665"/>
      <c r="G590" s="664"/>
      <c r="H590" s="664"/>
      <c r="I590" s="664"/>
      <c r="J590" s="727"/>
      <c r="K590" s="664"/>
      <c r="L590" s="666"/>
    </row>
    <row r="591" spans="1:12" hidden="1" outlineLevel="1" x14ac:dyDescent="0.35">
      <c r="A591" s="483"/>
      <c r="B591" s="762" t="s">
        <v>2000</v>
      </c>
      <c r="C591" s="664" t="s">
        <v>415</v>
      </c>
      <c r="D591" s="664"/>
      <c r="E591" s="664"/>
      <c r="F591" s="665"/>
      <c r="G591" s="664"/>
      <c r="H591" s="664"/>
      <c r="I591" s="664"/>
      <c r="J591" s="727"/>
      <c r="K591" s="664"/>
      <c r="L591" s="666"/>
    </row>
    <row r="592" spans="1:12" hidden="1" outlineLevel="1" x14ac:dyDescent="0.35">
      <c r="A592" s="483"/>
      <c r="B592" s="762" t="s">
        <v>2000</v>
      </c>
      <c r="C592" s="664" t="s">
        <v>416</v>
      </c>
      <c r="D592" s="664"/>
      <c r="E592" s="664"/>
      <c r="F592" s="665"/>
      <c r="G592" s="664"/>
      <c r="H592" s="664"/>
      <c r="I592" s="664"/>
      <c r="J592" s="727"/>
      <c r="K592" s="664"/>
      <c r="L592" s="666"/>
    </row>
    <row r="593" spans="1:12" hidden="1" outlineLevel="1" x14ac:dyDescent="0.35">
      <c r="A593" s="483"/>
      <c r="B593" s="762" t="s">
        <v>2000</v>
      </c>
      <c r="C593" s="664" t="s">
        <v>417</v>
      </c>
      <c r="D593" s="664"/>
      <c r="E593" s="664"/>
      <c r="F593" s="665"/>
      <c r="G593" s="664"/>
      <c r="H593" s="664"/>
      <c r="I593" s="664"/>
      <c r="J593" s="727"/>
      <c r="K593" s="664"/>
      <c r="L593" s="666"/>
    </row>
    <row r="594" spans="1:12" hidden="1" outlineLevel="1" x14ac:dyDescent="0.35">
      <c r="A594" s="483"/>
      <c r="B594" s="762" t="s">
        <v>2000</v>
      </c>
      <c r="C594" s="664" t="s">
        <v>418</v>
      </c>
      <c r="D594" s="664"/>
      <c r="E594" s="664"/>
      <c r="F594" s="665"/>
      <c r="G594" s="664"/>
      <c r="H594" s="664"/>
      <c r="I594" s="664"/>
      <c r="J594" s="727"/>
      <c r="K594" s="664"/>
      <c r="L594" s="666"/>
    </row>
    <row r="595" spans="1:12" hidden="1" outlineLevel="1" x14ac:dyDescent="0.35">
      <c r="A595" s="483"/>
      <c r="B595" s="762" t="s">
        <v>2000</v>
      </c>
      <c r="C595" s="664" t="s">
        <v>419</v>
      </c>
      <c r="D595" s="664"/>
      <c r="E595" s="664"/>
      <c r="F595" s="665"/>
      <c r="G595" s="664"/>
      <c r="H595" s="664"/>
      <c r="I595" s="664"/>
      <c r="J595" s="727"/>
      <c r="K595" s="664"/>
      <c r="L595" s="666"/>
    </row>
    <row r="596" spans="1:12" hidden="1" outlineLevel="1" x14ac:dyDescent="0.35">
      <c r="A596" s="483"/>
      <c r="B596" s="762" t="s">
        <v>2000</v>
      </c>
      <c r="C596" s="664" t="s">
        <v>420</v>
      </c>
      <c r="D596" s="664"/>
      <c r="E596" s="664"/>
      <c r="F596" s="665"/>
      <c r="G596" s="664"/>
      <c r="H596" s="664"/>
      <c r="I596" s="664"/>
      <c r="J596" s="727"/>
      <c r="K596" s="664"/>
      <c r="L596" s="666"/>
    </row>
    <row r="597" spans="1:12" hidden="1" outlineLevel="1" x14ac:dyDescent="0.35">
      <c r="A597" s="483"/>
      <c r="B597" s="762" t="s">
        <v>2000</v>
      </c>
      <c r="C597" s="664" t="s">
        <v>421</v>
      </c>
      <c r="D597" s="664"/>
      <c r="E597" s="664"/>
      <c r="F597" s="665"/>
      <c r="G597" s="664"/>
      <c r="H597" s="664"/>
      <c r="I597" s="664"/>
      <c r="J597" s="727"/>
      <c r="K597" s="664"/>
      <c r="L597" s="666"/>
    </row>
    <row r="598" spans="1:12" hidden="1" outlineLevel="1" x14ac:dyDescent="0.35">
      <c r="A598" s="483"/>
      <c r="B598" s="762" t="s">
        <v>2000</v>
      </c>
      <c r="C598" s="664" t="s">
        <v>422</v>
      </c>
      <c r="D598" s="664"/>
      <c r="E598" s="664"/>
      <c r="F598" s="665"/>
      <c r="G598" s="664"/>
      <c r="H598" s="664"/>
      <c r="I598" s="664"/>
      <c r="J598" s="727"/>
      <c r="K598" s="664"/>
      <c r="L598" s="666"/>
    </row>
    <row r="599" spans="1:12" hidden="1" outlineLevel="1" x14ac:dyDescent="0.35">
      <c r="A599" s="483"/>
      <c r="B599" s="762" t="s">
        <v>2000</v>
      </c>
      <c r="C599" s="664" t="s">
        <v>423</v>
      </c>
      <c r="D599" s="664"/>
      <c r="E599" s="664"/>
      <c r="F599" s="665"/>
      <c r="G599" s="664"/>
      <c r="H599" s="664"/>
      <c r="I599" s="664"/>
      <c r="J599" s="727"/>
      <c r="K599" s="664"/>
      <c r="L599" s="666"/>
    </row>
    <row r="600" spans="1:12" hidden="1" outlineLevel="1" x14ac:dyDescent="0.35">
      <c r="A600" s="483"/>
      <c r="B600" s="762" t="s">
        <v>2000</v>
      </c>
      <c r="C600" s="664" t="s">
        <v>424</v>
      </c>
      <c r="D600" s="664"/>
      <c r="E600" s="664"/>
      <c r="F600" s="665"/>
      <c r="G600" s="664"/>
      <c r="H600" s="664"/>
      <c r="I600" s="664"/>
      <c r="J600" s="727"/>
      <c r="K600" s="664"/>
      <c r="L600" s="666"/>
    </row>
    <row r="601" spans="1:12" hidden="1" outlineLevel="1" x14ac:dyDescent="0.35">
      <c r="A601" s="483"/>
      <c r="B601" s="762" t="s">
        <v>2000</v>
      </c>
      <c r="C601" s="664" t="s">
        <v>425</v>
      </c>
      <c r="D601" s="664"/>
      <c r="E601" s="664"/>
      <c r="F601" s="665"/>
      <c r="G601" s="664"/>
      <c r="H601" s="664"/>
      <c r="I601" s="664"/>
      <c r="J601" s="727"/>
      <c r="K601" s="664"/>
      <c r="L601" s="666"/>
    </row>
    <row r="602" spans="1:12" hidden="1" outlineLevel="1" x14ac:dyDescent="0.35">
      <c r="A602" s="483"/>
      <c r="B602" s="762" t="s">
        <v>2000</v>
      </c>
      <c r="C602" s="664" t="s">
        <v>426</v>
      </c>
      <c r="D602" s="664"/>
      <c r="E602" s="664"/>
      <c r="F602" s="665"/>
      <c r="G602" s="664"/>
      <c r="H602" s="664"/>
      <c r="I602" s="664"/>
      <c r="J602" s="727"/>
      <c r="K602" s="664"/>
      <c r="L602" s="666"/>
    </row>
    <row r="603" spans="1:12" hidden="1" outlineLevel="1" x14ac:dyDescent="0.35">
      <c r="A603" s="483"/>
      <c r="B603" s="762" t="s">
        <v>2000</v>
      </c>
      <c r="C603" s="664" t="s">
        <v>427</v>
      </c>
      <c r="D603" s="664"/>
      <c r="E603" s="664"/>
      <c r="F603" s="665"/>
      <c r="G603" s="664"/>
      <c r="H603" s="664"/>
      <c r="I603" s="664"/>
      <c r="J603" s="727"/>
      <c r="K603" s="664"/>
      <c r="L603" s="666"/>
    </row>
    <row r="604" spans="1:12" hidden="1" outlineLevel="1" x14ac:dyDescent="0.35">
      <c r="A604" s="483"/>
      <c r="B604" s="762" t="s">
        <v>2000</v>
      </c>
      <c r="C604" s="664" t="s">
        <v>428</v>
      </c>
      <c r="D604" s="664"/>
      <c r="E604" s="664"/>
      <c r="F604" s="665"/>
      <c r="G604" s="664"/>
      <c r="H604" s="664"/>
      <c r="I604" s="664"/>
      <c r="J604" s="727"/>
      <c r="K604" s="664"/>
      <c r="L604" s="666"/>
    </row>
    <row r="605" spans="1:12" hidden="1" outlineLevel="1" x14ac:dyDescent="0.35">
      <c r="A605" s="483"/>
      <c r="B605" s="762" t="s">
        <v>2000</v>
      </c>
      <c r="C605" s="664" t="s">
        <v>429</v>
      </c>
      <c r="D605" s="664"/>
      <c r="E605" s="664"/>
      <c r="F605" s="665"/>
      <c r="G605" s="664"/>
      <c r="H605" s="664"/>
      <c r="I605" s="664"/>
      <c r="J605" s="727"/>
      <c r="K605" s="664"/>
      <c r="L605" s="666"/>
    </row>
    <row r="606" spans="1:12" hidden="1" outlineLevel="1" x14ac:dyDescent="0.35">
      <c r="A606" s="483"/>
      <c r="B606" s="762" t="s">
        <v>2000</v>
      </c>
      <c r="C606" s="664" t="s">
        <v>430</v>
      </c>
      <c r="D606" s="664"/>
      <c r="E606" s="664"/>
      <c r="F606" s="665"/>
      <c r="G606" s="664"/>
      <c r="H606" s="664"/>
      <c r="I606" s="664"/>
      <c r="J606" s="727"/>
      <c r="K606" s="664"/>
      <c r="L606" s="666"/>
    </row>
    <row r="607" spans="1:12" hidden="1" outlineLevel="1" x14ac:dyDescent="0.35">
      <c r="A607" s="483"/>
      <c r="B607" s="762" t="s">
        <v>2000</v>
      </c>
      <c r="C607" s="664" t="s">
        <v>431</v>
      </c>
      <c r="D607" s="664"/>
      <c r="E607" s="664"/>
      <c r="F607" s="665"/>
      <c r="G607" s="664"/>
      <c r="H607" s="664"/>
      <c r="I607" s="664"/>
      <c r="J607" s="727"/>
      <c r="K607" s="664"/>
      <c r="L607" s="666"/>
    </row>
    <row r="608" spans="1:12" hidden="1" outlineLevel="1" x14ac:dyDescent="0.35">
      <c r="A608" s="483"/>
      <c r="B608" s="762" t="s">
        <v>2000</v>
      </c>
      <c r="C608" s="664" t="s">
        <v>432</v>
      </c>
      <c r="D608" s="664"/>
      <c r="E608" s="664"/>
      <c r="F608" s="665"/>
      <c r="G608" s="664"/>
      <c r="H608" s="664"/>
      <c r="I608" s="664"/>
      <c r="J608" s="727"/>
      <c r="K608" s="664"/>
      <c r="L608" s="666"/>
    </row>
    <row r="609" spans="1:12" hidden="1" outlineLevel="1" x14ac:dyDescent="0.35">
      <c r="A609" s="483"/>
      <c r="B609" s="762" t="s">
        <v>2000</v>
      </c>
      <c r="C609" s="664" t="s">
        <v>433</v>
      </c>
      <c r="D609" s="664"/>
      <c r="E609" s="664"/>
      <c r="F609" s="665"/>
      <c r="G609" s="664"/>
      <c r="H609" s="664"/>
      <c r="I609" s="664"/>
      <c r="J609" s="727"/>
      <c r="K609" s="664"/>
      <c r="L609" s="666"/>
    </row>
    <row r="610" spans="1:12" hidden="1" outlineLevel="1" x14ac:dyDescent="0.35">
      <c r="A610" s="483"/>
      <c r="B610" s="762" t="s">
        <v>2000</v>
      </c>
      <c r="C610" s="664" t="s">
        <v>434</v>
      </c>
      <c r="D610" s="664"/>
      <c r="E610" s="664"/>
      <c r="F610" s="665"/>
      <c r="G610" s="664"/>
      <c r="H610" s="664"/>
      <c r="I610" s="664"/>
      <c r="J610" s="727"/>
      <c r="K610" s="664"/>
      <c r="L610" s="666"/>
    </row>
    <row r="611" spans="1:12" hidden="1" outlineLevel="1" x14ac:dyDescent="0.35">
      <c r="A611" s="483"/>
      <c r="B611" s="762" t="s">
        <v>2000</v>
      </c>
      <c r="C611" s="664" t="s">
        <v>435</v>
      </c>
      <c r="D611" s="664"/>
      <c r="E611" s="664"/>
      <c r="F611" s="665"/>
      <c r="G611" s="664"/>
      <c r="H611" s="664"/>
      <c r="I611" s="664"/>
      <c r="J611" s="727"/>
      <c r="K611" s="664"/>
      <c r="L611" s="666"/>
    </row>
    <row r="612" spans="1:12" hidden="1" outlineLevel="1" x14ac:dyDescent="0.35">
      <c r="A612" s="483"/>
      <c r="B612" s="762" t="s">
        <v>2000</v>
      </c>
      <c r="C612" s="664" t="s">
        <v>436</v>
      </c>
      <c r="D612" s="664"/>
      <c r="E612" s="664"/>
      <c r="F612" s="665"/>
      <c r="G612" s="664"/>
      <c r="H612" s="664"/>
      <c r="I612" s="664"/>
      <c r="J612" s="727"/>
      <c r="K612" s="664"/>
      <c r="L612" s="666"/>
    </row>
    <row r="613" spans="1:12" hidden="1" outlineLevel="1" x14ac:dyDescent="0.35">
      <c r="A613" s="483"/>
      <c r="B613" s="762" t="s">
        <v>2000</v>
      </c>
      <c r="C613" s="664" t="s">
        <v>437</v>
      </c>
      <c r="D613" s="664"/>
      <c r="E613" s="664"/>
      <c r="F613" s="665"/>
      <c r="G613" s="664"/>
      <c r="H613" s="664"/>
      <c r="I613" s="664"/>
      <c r="J613" s="727"/>
      <c r="K613" s="664"/>
      <c r="L613" s="666"/>
    </row>
    <row r="614" spans="1:12" hidden="1" outlineLevel="1" x14ac:dyDescent="0.35">
      <c r="A614" s="483"/>
      <c r="B614" s="762" t="s">
        <v>2000</v>
      </c>
      <c r="C614" s="664" t="s">
        <v>438</v>
      </c>
      <c r="D614" s="664"/>
      <c r="E614" s="664"/>
      <c r="F614" s="665"/>
      <c r="G614" s="664"/>
      <c r="H614" s="664"/>
      <c r="I614" s="664"/>
      <c r="J614" s="727"/>
      <c r="K614" s="664"/>
      <c r="L614" s="666"/>
    </row>
    <row r="615" spans="1:12" hidden="1" outlineLevel="1" x14ac:dyDescent="0.35">
      <c r="A615" s="483"/>
      <c r="B615" s="762" t="s">
        <v>2000</v>
      </c>
      <c r="C615" s="664" t="s">
        <v>439</v>
      </c>
      <c r="D615" s="664"/>
      <c r="E615" s="664"/>
      <c r="F615" s="665"/>
      <c r="G615" s="664"/>
      <c r="H615" s="664"/>
      <c r="I615" s="664"/>
      <c r="J615" s="727"/>
      <c r="K615" s="664"/>
      <c r="L615" s="666"/>
    </row>
    <row r="616" spans="1:12" hidden="1" outlineLevel="1" x14ac:dyDescent="0.35">
      <c r="A616" s="483"/>
      <c r="B616" s="762" t="s">
        <v>2000</v>
      </c>
      <c r="C616" s="664" t="s">
        <v>440</v>
      </c>
      <c r="D616" s="664"/>
      <c r="E616" s="664"/>
      <c r="F616" s="665"/>
      <c r="G616" s="664"/>
      <c r="H616" s="664"/>
      <c r="I616" s="664"/>
      <c r="J616" s="727"/>
      <c r="K616" s="664"/>
      <c r="L616" s="666"/>
    </row>
    <row r="617" spans="1:12" hidden="1" outlineLevel="1" x14ac:dyDescent="0.35">
      <c r="A617" s="483"/>
      <c r="B617" s="762" t="s">
        <v>2000</v>
      </c>
      <c r="C617" s="664" t="s">
        <v>441</v>
      </c>
      <c r="D617" s="664"/>
      <c r="E617" s="664"/>
      <c r="F617" s="665"/>
      <c r="G617" s="664"/>
      <c r="H617" s="664"/>
      <c r="I617" s="664"/>
      <c r="J617" s="727"/>
      <c r="K617" s="664"/>
      <c r="L617" s="666"/>
    </row>
    <row r="618" spans="1:12" hidden="1" outlineLevel="1" x14ac:dyDescent="0.35">
      <c r="A618" s="483"/>
      <c r="B618" s="762" t="s">
        <v>2000</v>
      </c>
      <c r="C618" s="664" t="s">
        <v>442</v>
      </c>
      <c r="D618" s="664"/>
      <c r="E618" s="664"/>
      <c r="F618" s="665"/>
      <c r="G618" s="664"/>
      <c r="H618" s="664"/>
      <c r="I618" s="664"/>
      <c r="J618" s="727"/>
      <c r="K618" s="664"/>
      <c r="L618" s="666"/>
    </row>
    <row r="619" spans="1:12" hidden="1" outlineLevel="1" x14ac:dyDescent="0.35">
      <c r="A619" s="483"/>
      <c r="B619" s="762" t="s">
        <v>2000</v>
      </c>
      <c r="C619" s="664" t="s">
        <v>443</v>
      </c>
      <c r="D619" s="664"/>
      <c r="E619" s="664"/>
      <c r="F619" s="665"/>
      <c r="G619" s="664"/>
      <c r="H619" s="664"/>
      <c r="I619" s="664"/>
      <c r="J619" s="727"/>
      <c r="K619" s="664"/>
      <c r="L619" s="666"/>
    </row>
    <row r="620" spans="1:12" hidden="1" outlineLevel="1" x14ac:dyDescent="0.35">
      <c r="A620" s="483"/>
      <c r="B620" s="762" t="s">
        <v>2000</v>
      </c>
      <c r="C620" s="664" t="s">
        <v>444</v>
      </c>
      <c r="D620" s="664"/>
      <c r="E620" s="664"/>
      <c r="F620" s="665"/>
      <c r="G620" s="664"/>
      <c r="H620" s="664"/>
      <c r="I620" s="664"/>
      <c r="J620" s="727"/>
      <c r="K620" s="664"/>
      <c r="L620" s="666"/>
    </row>
    <row r="621" spans="1:12" hidden="1" outlineLevel="1" x14ac:dyDescent="0.35">
      <c r="A621" s="483"/>
      <c r="B621" s="762" t="s">
        <v>2000</v>
      </c>
      <c r="C621" s="664" t="s">
        <v>445</v>
      </c>
      <c r="D621" s="664"/>
      <c r="E621" s="664"/>
      <c r="F621" s="665"/>
      <c r="G621" s="664"/>
      <c r="H621" s="664"/>
      <c r="I621" s="664"/>
      <c r="J621" s="727"/>
      <c r="K621" s="664"/>
      <c r="L621" s="666"/>
    </row>
    <row r="622" spans="1:12" hidden="1" outlineLevel="1" x14ac:dyDescent="0.35">
      <c r="A622" s="483"/>
      <c r="B622" s="762" t="s">
        <v>2000</v>
      </c>
      <c r="C622" s="664" t="s">
        <v>446</v>
      </c>
      <c r="D622" s="664"/>
      <c r="E622" s="664"/>
      <c r="F622" s="665"/>
      <c r="G622" s="664"/>
      <c r="H622" s="664"/>
      <c r="I622" s="664"/>
      <c r="J622" s="727"/>
      <c r="K622" s="664"/>
      <c r="L622" s="666"/>
    </row>
    <row r="623" spans="1:12" hidden="1" outlineLevel="1" x14ac:dyDescent="0.35">
      <c r="A623" s="483"/>
      <c r="B623" s="762" t="s">
        <v>2000</v>
      </c>
      <c r="C623" s="664" t="s">
        <v>447</v>
      </c>
      <c r="D623" s="664"/>
      <c r="E623" s="664"/>
      <c r="F623" s="665"/>
      <c r="G623" s="664"/>
      <c r="H623" s="664"/>
      <c r="I623" s="664"/>
      <c r="J623" s="727"/>
      <c r="K623" s="664"/>
      <c r="L623" s="666"/>
    </row>
    <row r="624" spans="1:12" hidden="1" outlineLevel="1" x14ac:dyDescent="0.35">
      <c r="A624" s="483"/>
      <c r="B624" s="762" t="s">
        <v>2000</v>
      </c>
      <c r="C624" s="664" t="s">
        <v>448</v>
      </c>
      <c r="D624" s="664"/>
      <c r="E624" s="664"/>
      <c r="F624" s="665"/>
      <c r="G624" s="664"/>
      <c r="H624" s="664"/>
      <c r="I624" s="664"/>
      <c r="J624" s="727"/>
      <c r="K624" s="664"/>
      <c r="L624" s="666"/>
    </row>
    <row r="625" spans="1:12" hidden="1" outlineLevel="1" x14ac:dyDescent="0.35">
      <c r="A625" s="483"/>
      <c r="B625" s="762" t="s">
        <v>2000</v>
      </c>
      <c r="C625" s="664" t="s">
        <v>449</v>
      </c>
      <c r="D625" s="664"/>
      <c r="E625" s="664"/>
      <c r="F625" s="665"/>
      <c r="G625" s="664"/>
      <c r="H625" s="664"/>
      <c r="I625" s="664"/>
      <c r="J625" s="727"/>
      <c r="K625" s="664"/>
      <c r="L625" s="666"/>
    </row>
    <row r="626" spans="1:12" hidden="1" outlineLevel="1" x14ac:dyDescent="0.35">
      <c r="A626" s="483"/>
      <c r="B626" s="762" t="s">
        <v>2000</v>
      </c>
      <c r="C626" s="664" t="s">
        <v>450</v>
      </c>
      <c r="D626" s="664"/>
      <c r="E626" s="664"/>
      <c r="F626" s="665"/>
      <c r="G626" s="664"/>
      <c r="H626" s="664"/>
      <c r="I626" s="664"/>
      <c r="J626" s="727"/>
      <c r="K626" s="664"/>
      <c r="L626" s="666"/>
    </row>
    <row r="627" spans="1:12" hidden="1" outlineLevel="1" x14ac:dyDescent="0.35">
      <c r="A627" s="483"/>
      <c r="B627" s="762" t="s">
        <v>2000</v>
      </c>
      <c r="C627" s="664" t="s">
        <v>451</v>
      </c>
      <c r="D627" s="664"/>
      <c r="E627" s="664"/>
      <c r="F627" s="665"/>
      <c r="G627" s="664"/>
      <c r="H627" s="664"/>
      <c r="I627" s="664"/>
      <c r="J627" s="727"/>
      <c r="K627" s="664"/>
      <c r="L627" s="666"/>
    </row>
    <row r="628" spans="1:12" hidden="1" outlineLevel="1" x14ac:dyDescent="0.35">
      <c r="A628" s="483"/>
      <c r="B628" s="762" t="s">
        <v>2000</v>
      </c>
      <c r="C628" s="664" t="s">
        <v>452</v>
      </c>
      <c r="D628" s="664"/>
      <c r="E628" s="664"/>
      <c r="F628" s="665"/>
      <c r="G628" s="664"/>
      <c r="H628" s="664"/>
      <c r="I628" s="664"/>
      <c r="J628" s="727"/>
      <c r="K628" s="664"/>
      <c r="L628" s="666"/>
    </row>
    <row r="629" spans="1:12" hidden="1" outlineLevel="1" x14ac:dyDescent="0.35">
      <c r="A629" s="483"/>
      <c r="B629" s="762" t="s">
        <v>2000</v>
      </c>
      <c r="C629" s="664" t="s">
        <v>453</v>
      </c>
      <c r="D629" s="664"/>
      <c r="E629" s="664"/>
      <c r="F629" s="665"/>
      <c r="G629" s="664"/>
      <c r="H629" s="664"/>
      <c r="I629" s="664"/>
      <c r="J629" s="727"/>
      <c r="K629" s="664"/>
      <c r="L629" s="666"/>
    </row>
    <row r="630" spans="1:12" hidden="1" outlineLevel="1" x14ac:dyDescent="0.35">
      <c r="A630" s="483"/>
      <c r="B630" s="762" t="s">
        <v>2000</v>
      </c>
      <c r="C630" s="664" t="s">
        <v>454</v>
      </c>
      <c r="D630" s="664"/>
      <c r="E630" s="664"/>
      <c r="F630" s="665"/>
      <c r="G630" s="664"/>
      <c r="H630" s="664"/>
      <c r="I630" s="664"/>
      <c r="J630" s="727"/>
      <c r="K630" s="664"/>
      <c r="L630" s="666"/>
    </row>
    <row r="631" spans="1:12" hidden="1" outlineLevel="1" x14ac:dyDescent="0.35">
      <c r="A631" s="483"/>
      <c r="B631" s="762" t="s">
        <v>2000</v>
      </c>
      <c r="C631" s="664" t="s">
        <v>455</v>
      </c>
      <c r="D631" s="664"/>
      <c r="E631" s="664"/>
      <c r="F631" s="665"/>
      <c r="G631" s="664"/>
      <c r="H631" s="664"/>
      <c r="I631" s="664"/>
      <c r="J631" s="727"/>
      <c r="K631" s="664"/>
      <c r="L631" s="666"/>
    </row>
    <row r="632" spans="1:12" hidden="1" outlineLevel="1" x14ac:dyDescent="0.35">
      <c r="A632" s="483"/>
      <c r="B632" s="762" t="s">
        <v>2000</v>
      </c>
      <c r="C632" s="664" t="s">
        <v>456</v>
      </c>
      <c r="D632" s="664"/>
      <c r="E632" s="664"/>
      <c r="F632" s="665"/>
      <c r="G632" s="664"/>
      <c r="H632" s="664"/>
      <c r="I632" s="664"/>
      <c r="J632" s="727"/>
      <c r="K632" s="664"/>
      <c r="L632" s="666"/>
    </row>
    <row r="633" spans="1:12" hidden="1" outlineLevel="1" x14ac:dyDescent="0.35">
      <c r="A633" s="483"/>
      <c r="B633" s="762" t="s">
        <v>2000</v>
      </c>
      <c r="C633" s="664" t="s">
        <v>457</v>
      </c>
      <c r="D633" s="664"/>
      <c r="E633" s="664"/>
      <c r="F633" s="665"/>
      <c r="G633" s="664"/>
      <c r="H633" s="664"/>
      <c r="I633" s="664"/>
      <c r="J633" s="727"/>
      <c r="K633" s="664"/>
      <c r="L633" s="666"/>
    </row>
    <row r="634" spans="1:12" hidden="1" outlineLevel="1" x14ac:dyDescent="0.35">
      <c r="A634" s="483"/>
      <c r="B634" s="762" t="s">
        <v>2000</v>
      </c>
      <c r="C634" s="664" t="s">
        <v>458</v>
      </c>
      <c r="D634" s="664"/>
      <c r="E634" s="664"/>
      <c r="F634" s="665"/>
      <c r="G634" s="664"/>
      <c r="H634" s="664"/>
      <c r="I634" s="664"/>
      <c r="J634" s="727"/>
      <c r="K634" s="664"/>
      <c r="L634" s="666"/>
    </row>
    <row r="635" spans="1:12" hidden="1" outlineLevel="1" x14ac:dyDescent="0.35">
      <c r="A635" s="483"/>
      <c r="B635" s="762" t="s">
        <v>2000</v>
      </c>
      <c r="C635" s="664" t="s">
        <v>459</v>
      </c>
      <c r="D635" s="664"/>
      <c r="E635" s="664"/>
      <c r="F635" s="665"/>
      <c r="G635" s="664"/>
      <c r="H635" s="664"/>
      <c r="I635" s="664"/>
      <c r="J635" s="727"/>
      <c r="K635" s="664"/>
      <c r="L635" s="666"/>
    </row>
    <row r="636" spans="1:12" hidden="1" outlineLevel="1" x14ac:dyDescent="0.35">
      <c r="A636" s="483"/>
      <c r="B636" s="762" t="s">
        <v>2000</v>
      </c>
      <c r="C636" s="664" t="s">
        <v>460</v>
      </c>
      <c r="D636" s="664"/>
      <c r="E636" s="664"/>
      <c r="F636" s="665"/>
      <c r="G636" s="664"/>
      <c r="H636" s="664"/>
      <c r="I636" s="664"/>
      <c r="J636" s="727"/>
      <c r="K636" s="664"/>
      <c r="L636" s="666"/>
    </row>
    <row r="637" spans="1:12" hidden="1" outlineLevel="1" x14ac:dyDescent="0.35">
      <c r="A637" s="483"/>
      <c r="B637" s="762" t="s">
        <v>2000</v>
      </c>
      <c r="C637" s="664" t="s">
        <v>461</v>
      </c>
      <c r="D637" s="664"/>
      <c r="E637" s="664"/>
      <c r="F637" s="665"/>
      <c r="G637" s="664"/>
      <c r="H637" s="664"/>
      <c r="I637" s="664"/>
      <c r="J637" s="727"/>
      <c r="K637" s="664"/>
      <c r="L637" s="666"/>
    </row>
    <row r="638" spans="1:12" hidden="1" outlineLevel="1" x14ac:dyDescent="0.35">
      <c r="A638" s="483"/>
      <c r="B638" s="762" t="s">
        <v>2000</v>
      </c>
      <c r="C638" s="664" t="s">
        <v>462</v>
      </c>
      <c r="D638" s="664"/>
      <c r="E638" s="664"/>
      <c r="F638" s="665"/>
      <c r="G638" s="664"/>
      <c r="H638" s="664"/>
      <c r="I638" s="664"/>
      <c r="J638" s="727"/>
      <c r="K638" s="664"/>
      <c r="L638" s="666"/>
    </row>
    <row r="639" spans="1:12" hidden="1" outlineLevel="1" x14ac:dyDescent="0.35">
      <c r="A639" s="483"/>
      <c r="B639" s="762" t="s">
        <v>2000</v>
      </c>
      <c r="C639" s="664" t="s">
        <v>463</v>
      </c>
      <c r="D639" s="664"/>
      <c r="E639" s="664"/>
      <c r="F639" s="665"/>
      <c r="G639" s="664"/>
      <c r="H639" s="664"/>
      <c r="I639" s="664"/>
      <c r="J639" s="727"/>
      <c r="K639" s="664"/>
      <c r="L639" s="666"/>
    </row>
    <row r="640" spans="1:12" hidden="1" outlineLevel="1" x14ac:dyDescent="0.35">
      <c r="A640" s="483"/>
      <c r="B640" s="762" t="s">
        <v>2000</v>
      </c>
      <c r="C640" s="664" t="s">
        <v>464</v>
      </c>
      <c r="D640" s="664"/>
      <c r="E640" s="664"/>
      <c r="F640" s="665"/>
      <c r="G640" s="664"/>
      <c r="H640" s="664"/>
      <c r="I640" s="664"/>
      <c r="J640" s="727"/>
      <c r="K640" s="664"/>
      <c r="L640" s="666"/>
    </row>
    <row r="641" spans="1:12" hidden="1" outlineLevel="1" x14ac:dyDescent="0.35">
      <c r="A641" s="483"/>
      <c r="B641" s="762" t="s">
        <v>2000</v>
      </c>
      <c r="C641" s="664" t="s">
        <v>465</v>
      </c>
      <c r="D641" s="664"/>
      <c r="E641" s="664"/>
      <c r="F641" s="665"/>
      <c r="G641" s="664"/>
      <c r="H641" s="664"/>
      <c r="I641" s="664"/>
      <c r="J641" s="727"/>
      <c r="K641" s="664"/>
      <c r="L641" s="666"/>
    </row>
    <row r="642" spans="1:12" hidden="1" outlineLevel="1" x14ac:dyDescent="0.35">
      <c r="A642" s="483"/>
      <c r="B642" s="762" t="s">
        <v>2000</v>
      </c>
      <c r="C642" s="664" t="s">
        <v>466</v>
      </c>
      <c r="D642" s="664"/>
      <c r="E642" s="664"/>
      <c r="F642" s="665"/>
      <c r="G642" s="664"/>
      <c r="H642" s="664"/>
      <c r="I642" s="664"/>
      <c r="J642" s="727"/>
      <c r="K642" s="664"/>
      <c r="L642" s="666"/>
    </row>
    <row r="643" spans="1:12" hidden="1" outlineLevel="1" x14ac:dyDescent="0.35">
      <c r="A643" s="483"/>
      <c r="B643" s="762" t="s">
        <v>2000</v>
      </c>
      <c r="C643" s="664" t="s">
        <v>467</v>
      </c>
      <c r="D643" s="664"/>
      <c r="E643" s="664"/>
      <c r="F643" s="665"/>
      <c r="G643" s="664"/>
      <c r="H643" s="664"/>
      <c r="I643" s="664"/>
      <c r="J643" s="727"/>
      <c r="K643" s="664"/>
      <c r="L643" s="666"/>
    </row>
    <row r="644" spans="1:12" hidden="1" outlineLevel="1" x14ac:dyDescent="0.35">
      <c r="A644" s="483"/>
      <c r="B644" s="762" t="s">
        <v>2000</v>
      </c>
      <c r="C644" s="664" t="s">
        <v>468</v>
      </c>
      <c r="D644" s="664"/>
      <c r="E644" s="664"/>
      <c r="F644" s="665"/>
      <c r="G644" s="664"/>
      <c r="H644" s="664"/>
      <c r="I644" s="664"/>
      <c r="J644" s="727"/>
      <c r="K644" s="664"/>
      <c r="L644" s="666"/>
    </row>
    <row r="645" spans="1:12" hidden="1" outlineLevel="1" x14ac:dyDescent="0.35">
      <c r="A645" s="483"/>
      <c r="B645" s="762" t="s">
        <v>2000</v>
      </c>
      <c r="C645" s="664" t="s">
        <v>469</v>
      </c>
      <c r="D645" s="664"/>
      <c r="E645" s="664"/>
      <c r="F645" s="665"/>
      <c r="G645" s="664"/>
      <c r="H645" s="664"/>
      <c r="I645" s="664"/>
      <c r="J645" s="727"/>
      <c r="K645" s="664"/>
      <c r="L645" s="666"/>
    </row>
    <row r="646" spans="1:12" hidden="1" outlineLevel="1" x14ac:dyDescent="0.35">
      <c r="A646" s="483"/>
      <c r="B646" s="762" t="s">
        <v>2000</v>
      </c>
      <c r="C646" s="664" t="s">
        <v>470</v>
      </c>
      <c r="D646" s="664"/>
      <c r="E646" s="664"/>
      <c r="F646" s="665"/>
      <c r="G646" s="664"/>
      <c r="H646" s="664"/>
      <c r="I646" s="664"/>
      <c r="J646" s="727"/>
      <c r="K646" s="664"/>
      <c r="L646" s="666"/>
    </row>
    <row r="647" spans="1:12" hidden="1" outlineLevel="1" x14ac:dyDescent="0.35">
      <c r="A647" s="483"/>
      <c r="B647" s="762" t="s">
        <v>2000</v>
      </c>
      <c r="C647" s="664" t="s">
        <v>471</v>
      </c>
      <c r="D647" s="664"/>
      <c r="E647" s="664"/>
      <c r="F647" s="665"/>
      <c r="G647" s="664"/>
      <c r="H647" s="664"/>
      <c r="I647" s="664"/>
      <c r="J647" s="727"/>
      <c r="K647" s="664"/>
      <c r="L647" s="666"/>
    </row>
    <row r="648" spans="1:12" hidden="1" outlineLevel="1" x14ac:dyDescent="0.35">
      <c r="A648" s="483"/>
      <c r="B648" s="762" t="s">
        <v>2000</v>
      </c>
      <c r="C648" s="664" t="s">
        <v>472</v>
      </c>
      <c r="D648" s="664"/>
      <c r="E648" s="664"/>
      <c r="F648" s="665"/>
      <c r="G648" s="664"/>
      <c r="H648" s="664"/>
      <c r="I648" s="664"/>
      <c r="J648" s="727"/>
      <c r="K648" s="664"/>
      <c r="L648" s="666"/>
    </row>
    <row r="649" spans="1:12" hidden="1" outlineLevel="1" x14ac:dyDescent="0.35">
      <c r="A649" s="483"/>
      <c r="B649" s="762" t="s">
        <v>2000</v>
      </c>
      <c r="C649" s="664" t="s">
        <v>574</v>
      </c>
      <c r="D649" s="664"/>
      <c r="E649" s="664"/>
      <c r="F649" s="665"/>
      <c r="G649" s="664"/>
      <c r="H649" s="664"/>
      <c r="I649" s="664"/>
      <c r="J649" s="727"/>
      <c r="K649" s="664"/>
      <c r="L649" s="666"/>
    </row>
    <row r="650" spans="1:12" hidden="1" outlineLevel="1" x14ac:dyDescent="0.35">
      <c r="A650" s="483"/>
      <c r="B650" s="762" t="s">
        <v>2000</v>
      </c>
      <c r="C650" s="664" t="s">
        <v>473</v>
      </c>
      <c r="D650" s="664"/>
      <c r="E650" s="664"/>
      <c r="F650" s="665"/>
      <c r="G650" s="664"/>
      <c r="H650" s="664"/>
      <c r="I650" s="664"/>
      <c r="J650" s="727"/>
      <c r="K650" s="664"/>
      <c r="L650" s="666"/>
    </row>
    <row r="651" spans="1:12" hidden="1" outlineLevel="1" x14ac:dyDescent="0.35">
      <c r="A651" s="483"/>
      <c r="B651" s="762" t="s">
        <v>2000</v>
      </c>
      <c r="C651" s="664" t="s">
        <v>474</v>
      </c>
      <c r="D651" s="664"/>
      <c r="E651" s="664"/>
      <c r="F651" s="665"/>
      <c r="G651" s="664"/>
      <c r="H651" s="664"/>
      <c r="I651" s="664"/>
      <c r="J651" s="727"/>
      <c r="K651" s="664"/>
      <c r="L651" s="666"/>
    </row>
    <row r="652" spans="1:12" hidden="1" outlineLevel="1" x14ac:dyDescent="0.35">
      <c r="A652" s="483"/>
      <c r="B652" s="762" t="s">
        <v>2000</v>
      </c>
      <c r="C652" s="664" t="s">
        <v>475</v>
      </c>
      <c r="D652" s="664"/>
      <c r="E652" s="664"/>
      <c r="F652" s="665"/>
      <c r="G652" s="664"/>
      <c r="H652" s="664"/>
      <c r="I652" s="664"/>
      <c r="J652" s="727"/>
      <c r="K652" s="664"/>
      <c r="L652" s="666"/>
    </row>
    <row r="653" spans="1:12" hidden="1" outlineLevel="1" x14ac:dyDescent="0.35">
      <c r="A653" s="483"/>
      <c r="B653" s="762" t="s">
        <v>2000</v>
      </c>
      <c r="C653" s="664" t="s">
        <v>476</v>
      </c>
      <c r="D653" s="664"/>
      <c r="E653" s="664"/>
      <c r="F653" s="665"/>
      <c r="G653" s="664"/>
      <c r="H653" s="664"/>
      <c r="I653" s="664"/>
      <c r="J653" s="727"/>
      <c r="K653" s="664"/>
      <c r="L653" s="666"/>
    </row>
    <row r="654" spans="1:12" hidden="1" outlineLevel="1" x14ac:dyDescent="0.35">
      <c r="A654" s="483"/>
      <c r="B654" s="762" t="s">
        <v>2000</v>
      </c>
      <c r="C654" s="664" t="s">
        <v>477</v>
      </c>
      <c r="D654" s="664"/>
      <c r="E654" s="664"/>
      <c r="F654" s="665"/>
      <c r="G654" s="664"/>
      <c r="H654" s="664"/>
      <c r="I654" s="664"/>
      <c r="J654" s="727"/>
      <c r="K654" s="664"/>
      <c r="L654" s="666"/>
    </row>
    <row r="655" spans="1:12" hidden="1" outlineLevel="1" x14ac:dyDescent="0.35">
      <c r="A655" s="483"/>
      <c r="B655" s="762" t="s">
        <v>2000</v>
      </c>
      <c r="C655" s="664" t="s">
        <v>478</v>
      </c>
      <c r="D655" s="664"/>
      <c r="E655" s="664"/>
      <c r="F655" s="665"/>
      <c r="G655" s="664"/>
      <c r="H655" s="664"/>
      <c r="I655" s="664"/>
      <c r="J655" s="727"/>
      <c r="K655" s="664"/>
      <c r="L655" s="666"/>
    </row>
    <row r="656" spans="1:12" hidden="1" outlineLevel="1" x14ac:dyDescent="0.35">
      <c r="A656" s="483"/>
      <c r="B656" s="762" t="s">
        <v>2000</v>
      </c>
      <c r="C656" s="664" t="s">
        <v>479</v>
      </c>
      <c r="D656" s="664"/>
      <c r="E656" s="664"/>
      <c r="F656" s="665"/>
      <c r="G656" s="664"/>
      <c r="H656" s="664"/>
      <c r="I656" s="664"/>
      <c r="J656" s="727"/>
      <c r="K656" s="664"/>
      <c r="L656" s="666"/>
    </row>
    <row r="657" spans="1:19" hidden="1" outlineLevel="1" x14ac:dyDescent="0.35">
      <c r="A657" s="483"/>
      <c r="B657" s="762" t="s">
        <v>2000</v>
      </c>
      <c r="C657" s="664" t="s">
        <v>480</v>
      </c>
      <c r="D657" s="664"/>
      <c r="E657" s="664"/>
      <c r="F657" s="665"/>
      <c r="G657" s="664"/>
      <c r="H657" s="664"/>
      <c r="I657" s="664"/>
      <c r="J657" s="727"/>
      <c r="K657" s="664"/>
      <c r="L657" s="666"/>
    </row>
    <row r="658" spans="1:19" hidden="1" outlineLevel="1" x14ac:dyDescent="0.35">
      <c r="A658" s="483"/>
      <c r="B658" s="762" t="s">
        <v>2000</v>
      </c>
      <c r="C658" s="664" t="s">
        <v>481</v>
      </c>
      <c r="D658" s="664"/>
      <c r="E658" s="664"/>
      <c r="F658" s="665"/>
      <c r="G658" s="664"/>
      <c r="H658" s="664"/>
      <c r="I658" s="664"/>
      <c r="J658" s="727"/>
      <c r="K658" s="664"/>
      <c r="L658" s="666"/>
    </row>
    <row r="659" spans="1:19" hidden="1" outlineLevel="1" x14ac:dyDescent="0.35">
      <c r="A659" s="483"/>
      <c r="B659" s="762" t="s">
        <v>2000</v>
      </c>
      <c r="C659" s="664" t="s">
        <v>482</v>
      </c>
      <c r="D659" s="664"/>
      <c r="E659" s="664"/>
      <c r="F659" s="665"/>
      <c r="G659" s="664"/>
      <c r="H659" s="664"/>
      <c r="I659" s="664"/>
      <c r="J659" s="727"/>
      <c r="K659" s="664"/>
      <c r="L659" s="666"/>
    </row>
    <row r="660" spans="1:19" hidden="1" outlineLevel="1" x14ac:dyDescent="0.35">
      <c r="A660" s="483"/>
      <c r="B660" s="762" t="s">
        <v>2000</v>
      </c>
      <c r="C660" s="664" t="s">
        <v>483</v>
      </c>
      <c r="D660" s="664"/>
      <c r="E660" s="664"/>
      <c r="F660" s="665"/>
      <c r="G660" s="664"/>
      <c r="H660" s="664"/>
      <c r="I660" s="664"/>
      <c r="J660" s="727"/>
      <c r="K660" s="664"/>
      <c r="L660" s="666"/>
    </row>
    <row r="661" spans="1:19" hidden="1" outlineLevel="1" x14ac:dyDescent="0.35">
      <c r="A661" s="483"/>
      <c r="B661" s="762" t="s">
        <v>2000</v>
      </c>
      <c r="C661" s="664" t="s">
        <v>484</v>
      </c>
      <c r="D661" s="664"/>
      <c r="E661" s="664"/>
      <c r="F661" s="665"/>
      <c r="G661" s="664"/>
      <c r="H661" s="664"/>
      <c r="I661" s="664"/>
      <c r="J661" s="727"/>
      <c r="K661" s="664"/>
      <c r="L661" s="666"/>
    </row>
    <row r="662" spans="1:19" hidden="1" outlineLevel="1" x14ac:dyDescent="0.35">
      <c r="A662" s="483"/>
      <c r="B662" s="762" t="s">
        <v>2000</v>
      </c>
      <c r="C662" s="664" t="s">
        <v>485</v>
      </c>
      <c r="D662" s="664"/>
      <c r="E662" s="664"/>
      <c r="F662" s="665"/>
      <c r="G662" s="664"/>
      <c r="H662" s="664"/>
      <c r="I662" s="664"/>
      <c r="J662" s="727"/>
      <c r="K662" s="664"/>
      <c r="L662" s="666"/>
    </row>
    <row r="663" spans="1:19" hidden="1" outlineLevel="1" x14ac:dyDescent="0.35">
      <c r="A663" s="483"/>
      <c r="B663" s="762" t="s">
        <v>2000</v>
      </c>
      <c r="C663" s="664" t="s">
        <v>486</v>
      </c>
      <c r="D663" s="664"/>
      <c r="E663" s="664"/>
      <c r="F663" s="665"/>
      <c r="G663" s="664"/>
      <c r="H663" s="664"/>
      <c r="I663" s="664"/>
      <c r="J663" s="727"/>
      <c r="K663" s="664"/>
      <c r="L663" s="666"/>
    </row>
    <row r="664" spans="1:19" hidden="1" outlineLevel="1" x14ac:dyDescent="0.35">
      <c r="A664" s="483"/>
      <c r="B664" s="762" t="s">
        <v>2000</v>
      </c>
      <c r="C664" s="664" t="s">
        <v>487</v>
      </c>
      <c r="D664" s="664"/>
      <c r="E664" s="664"/>
      <c r="F664" s="665"/>
      <c r="G664" s="664"/>
      <c r="H664" s="664"/>
      <c r="I664" s="664"/>
      <c r="J664" s="727"/>
      <c r="K664" s="664"/>
      <c r="L664" s="666"/>
    </row>
    <row r="665" spans="1:19" hidden="1" outlineLevel="1" x14ac:dyDescent="0.35">
      <c r="A665" s="483"/>
      <c r="B665" s="762" t="s">
        <v>2000</v>
      </c>
      <c r="C665" s="664" t="s">
        <v>488</v>
      </c>
      <c r="D665" s="664"/>
      <c r="E665" s="664"/>
      <c r="F665" s="665"/>
      <c r="G665" s="664"/>
      <c r="H665" s="664"/>
      <c r="I665" s="664"/>
      <c r="J665" s="727"/>
      <c r="K665" s="664"/>
      <c r="L665" s="666"/>
    </row>
    <row r="666" spans="1:19" hidden="1" outlineLevel="1" x14ac:dyDescent="0.35">
      <c r="A666" s="483"/>
      <c r="B666" s="762" t="s">
        <v>2000</v>
      </c>
      <c r="C666" s="664" t="s">
        <v>489</v>
      </c>
      <c r="D666" s="664"/>
      <c r="E666" s="664"/>
      <c r="F666" s="665"/>
      <c r="G666" s="664"/>
      <c r="H666" s="664"/>
      <c r="I666" s="664"/>
      <c r="J666" s="727"/>
      <c r="K666" s="664"/>
      <c r="L666" s="666"/>
    </row>
    <row r="667" spans="1:19" hidden="1" outlineLevel="1" x14ac:dyDescent="0.35">
      <c r="A667" s="483"/>
      <c r="B667" s="762" t="s">
        <v>2000</v>
      </c>
      <c r="C667" s="664" t="s">
        <v>490</v>
      </c>
      <c r="D667" s="664"/>
      <c r="E667" s="664"/>
      <c r="F667" s="665"/>
      <c r="G667" s="664"/>
      <c r="H667" s="664"/>
      <c r="I667" s="664"/>
      <c r="J667" s="727"/>
      <c r="K667" s="664"/>
      <c r="L667" s="666"/>
    </row>
    <row r="668" spans="1:19" hidden="1" outlineLevel="1" x14ac:dyDescent="0.35">
      <c r="A668" s="483"/>
      <c r="B668" s="762" t="s">
        <v>2000</v>
      </c>
      <c r="C668" s="664" t="s">
        <v>491</v>
      </c>
      <c r="D668" s="664"/>
      <c r="E668" s="664"/>
      <c r="F668" s="665"/>
      <c r="G668" s="664"/>
      <c r="H668" s="664"/>
      <c r="I668" s="664"/>
      <c r="J668" s="727"/>
      <c r="K668" s="664"/>
      <c r="L668" s="666"/>
    </row>
    <row r="669" spans="1:19" ht="15" hidden="1" outlineLevel="1" thickBot="1" x14ac:dyDescent="0.4">
      <c r="A669" s="483"/>
      <c r="B669" s="761"/>
      <c r="C669" s="670"/>
      <c r="D669" s="670"/>
      <c r="E669" s="670"/>
      <c r="F669" s="671"/>
      <c r="G669" s="670"/>
      <c r="H669" s="670"/>
      <c r="I669" s="670"/>
      <c r="J669" s="728"/>
      <c r="K669" s="670"/>
      <c r="L669" s="711"/>
    </row>
    <row r="670" spans="1:19" ht="15.5" collapsed="1" thickTop="1" thickBot="1" x14ac:dyDescent="0.4">
      <c r="B670" s="2"/>
    </row>
    <row r="671" spans="1:19" ht="23" thickBot="1" x14ac:dyDescent="0.4">
      <c r="B671" s="524"/>
      <c r="C671" s="525" t="s">
        <v>492</v>
      </c>
      <c r="D671" s="525"/>
      <c r="E671" s="525"/>
      <c r="F671" s="525"/>
      <c r="G671" s="525"/>
      <c r="H671" s="525"/>
      <c r="I671" s="525"/>
      <c r="J671" s="525"/>
      <c r="K671" s="527"/>
      <c r="L671" s="526"/>
    </row>
    <row r="672" spans="1:19" s="2" customFormat="1" ht="15.5" hidden="1" outlineLevel="1" thickTop="1" thickBot="1" x14ac:dyDescent="0.4">
      <c r="B672" s="721"/>
      <c r="C672" s="719" t="s">
        <v>79</v>
      </c>
      <c r="D672" s="719"/>
      <c r="E672" s="719"/>
      <c r="F672" s="719"/>
      <c r="G672" s="719"/>
      <c r="H672" s="719"/>
      <c r="I672" s="719"/>
      <c r="J672" s="719"/>
      <c r="K672" s="719"/>
      <c r="L672" s="720"/>
      <c r="M672" s="385"/>
      <c r="S672" s="783"/>
    </row>
    <row r="673" spans="1:12" ht="15" hidden="1" outlineLevel="1" thickTop="1" x14ac:dyDescent="0.35">
      <c r="A673" s="483"/>
      <c r="B673" s="759" t="s">
        <v>2001</v>
      </c>
      <c r="C673" s="757" t="s">
        <v>493</v>
      </c>
      <c r="D673" s="664"/>
      <c r="E673" s="664"/>
      <c r="F673" s="665"/>
      <c r="G673" s="664" t="s">
        <v>244</v>
      </c>
      <c r="H673" s="664"/>
      <c r="I673" s="664"/>
      <c r="J673" s="727"/>
      <c r="K673" s="664"/>
      <c r="L673" s="666"/>
    </row>
    <row r="674" spans="1:12" hidden="1" outlineLevel="1" x14ac:dyDescent="0.35">
      <c r="A674" s="483"/>
      <c r="B674" s="762" t="s">
        <v>2001</v>
      </c>
      <c r="C674" s="664" t="s">
        <v>494</v>
      </c>
      <c r="D674" s="664"/>
      <c r="E674" s="664"/>
      <c r="F674" s="665"/>
      <c r="G674" s="664" t="s">
        <v>268</v>
      </c>
      <c r="H674" s="664"/>
      <c r="I674" s="664"/>
      <c r="J674" s="727"/>
      <c r="K674" s="664"/>
      <c r="L674" s="666"/>
    </row>
    <row r="675" spans="1:12" hidden="1" outlineLevel="1" x14ac:dyDescent="0.35">
      <c r="A675" s="483"/>
      <c r="B675" s="762" t="s">
        <v>2001</v>
      </c>
      <c r="C675" s="664" t="s">
        <v>495</v>
      </c>
      <c r="D675" s="664"/>
      <c r="E675" s="664"/>
      <c r="F675" s="665"/>
      <c r="G675" s="664" t="s">
        <v>305</v>
      </c>
      <c r="H675" s="664"/>
      <c r="I675" s="664"/>
      <c r="J675" s="727"/>
      <c r="K675" s="664"/>
      <c r="L675" s="666"/>
    </row>
    <row r="676" spans="1:12" hidden="1" outlineLevel="1" x14ac:dyDescent="0.35">
      <c r="A676" s="483"/>
      <c r="B676" s="762" t="s">
        <v>2001</v>
      </c>
      <c r="C676" s="664" t="s">
        <v>496</v>
      </c>
      <c r="D676" s="664"/>
      <c r="E676" s="664"/>
      <c r="F676" s="665"/>
      <c r="G676" s="664" t="s">
        <v>275</v>
      </c>
      <c r="H676" s="664"/>
      <c r="I676" s="664"/>
      <c r="J676" s="727"/>
      <c r="K676" s="664"/>
      <c r="L676" s="666"/>
    </row>
    <row r="677" spans="1:12" hidden="1" outlineLevel="1" x14ac:dyDescent="0.35">
      <c r="A677" s="483"/>
      <c r="B677" s="762" t="s">
        <v>2001</v>
      </c>
      <c r="C677" s="664" t="s">
        <v>497</v>
      </c>
      <c r="D677" s="664"/>
      <c r="E677" s="664"/>
      <c r="F677" s="665"/>
      <c r="G677" s="664" t="s">
        <v>264</v>
      </c>
      <c r="H677" s="664"/>
      <c r="I677" s="664"/>
      <c r="J677" s="727"/>
      <c r="K677" s="664"/>
      <c r="L677" s="666"/>
    </row>
    <row r="678" spans="1:12" hidden="1" outlineLevel="1" x14ac:dyDescent="0.35">
      <c r="A678" s="483"/>
      <c r="B678" s="762" t="s">
        <v>2001</v>
      </c>
      <c r="C678" s="664" t="s">
        <v>498</v>
      </c>
      <c r="D678" s="664"/>
      <c r="E678" s="664"/>
      <c r="F678" s="665"/>
      <c r="G678" s="664" t="s">
        <v>269</v>
      </c>
      <c r="H678" s="664"/>
      <c r="I678" s="664"/>
      <c r="J678" s="727"/>
      <c r="K678" s="664"/>
      <c r="L678" s="666"/>
    </row>
    <row r="679" spans="1:12" hidden="1" outlineLevel="1" x14ac:dyDescent="0.35">
      <c r="A679" s="483"/>
      <c r="B679" s="762" t="s">
        <v>2001</v>
      </c>
      <c r="C679" s="664" t="s">
        <v>499</v>
      </c>
      <c r="D679" s="664"/>
      <c r="E679" s="664"/>
      <c r="F679" s="665"/>
      <c r="G679" s="664" t="s">
        <v>276</v>
      </c>
      <c r="H679" s="664"/>
      <c r="I679" s="664"/>
      <c r="J679" s="727"/>
      <c r="K679" s="664"/>
      <c r="L679" s="666"/>
    </row>
    <row r="680" spans="1:12" hidden="1" outlineLevel="1" x14ac:dyDescent="0.35">
      <c r="A680" s="483"/>
      <c r="B680" s="762" t="s">
        <v>2001</v>
      </c>
      <c r="C680" s="664" t="s">
        <v>500</v>
      </c>
      <c r="D680" s="664"/>
      <c r="E680" s="664"/>
      <c r="F680" s="665"/>
      <c r="G680" s="664" t="s">
        <v>298</v>
      </c>
      <c r="H680" s="664"/>
      <c r="I680" s="664"/>
      <c r="J680" s="727"/>
      <c r="K680" s="664"/>
      <c r="L680" s="666"/>
    </row>
    <row r="681" spans="1:12" hidden="1" outlineLevel="1" x14ac:dyDescent="0.35">
      <c r="A681" s="483"/>
      <c r="B681" s="762" t="s">
        <v>2001</v>
      </c>
      <c r="C681" s="664" t="s">
        <v>501</v>
      </c>
      <c r="D681" s="664"/>
      <c r="E681" s="664"/>
      <c r="F681" s="665"/>
      <c r="G681" s="664" t="s">
        <v>373</v>
      </c>
      <c r="H681" s="664"/>
      <c r="I681" s="664"/>
      <c r="J681" s="727"/>
      <c r="K681" s="664"/>
      <c r="L681" s="666"/>
    </row>
    <row r="682" spans="1:12" hidden="1" outlineLevel="1" x14ac:dyDescent="0.35">
      <c r="A682" s="483"/>
      <c r="B682" s="762" t="s">
        <v>2001</v>
      </c>
      <c r="C682" s="664" t="s">
        <v>502</v>
      </c>
      <c r="D682" s="664"/>
      <c r="E682" s="664"/>
      <c r="F682" s="665"/>
      <c r="G682" s="664" t="s">
        <v>302</v>
      </c>
      <c r="H682" s="664"/>
      <c r="I682" s="664"/>
      <c r="J682" s="727"/>
      <c r="K682" s="664"/>
      <c r="L682" s="666"/>
    </row>
    <row r="683" spans="1:12" hidden="1" outlineLevel="1" x14ac:dyDescent="0.35">
      <c r="A683" s="483"/>
      <c r="B683" s="762" t="s">
        <v>2001</v>
      </c>
      <c r="C683" s="664" t="s">
        <v>503</v>
      </c>
      <c r="D683" s="664"/>
      <c r="E683" s="664"/>
      <c r="F683" s="665"/>
      <c r="G683" s="664" t="s">
        <v>320</v>
      </c>
      <c r="H683" s="664"/>
      <c r="I683" s="664"/>
      <c r="J683" s="727"/>
      <c r="K683" s="664"/>
      <c r="L683" s="666"/>
    </row>
    <row r="684" spans="1:12" hidden="1" outlineLevel="1" x14ac:dyDescent="0.35">
      <c r="A684" s="483"/>
      <c r="B684" s="762" t="s">
        <v>2001</v>
      </c>
      <c r="C684" s="664" t="s">
        <v>504</v>
      </c>
      <c r="D684" s="664"/>
      <c r="E684" s="664"/>
      <c r="F684" s="665"/>
      <c r="G684" s="664" t="s">
        <v>263</v>
      </c>
      <c r="H684" s="664"/>
      <c r="I684" s="664"/>
      <c r="J684" s="727"/>
      <c r="K684" s="664"/>
      <c r="L684" s="666"/>
    </row>
    <row r="685" spans="1:12" hidden="1" outlineLevel="1" x14ac:dyDescent="0.35">
      <c r="A685" s="483"/>
      <c r="B685" s="762" t="s">
        <v>2001</v>
      </c>
      <c r="C685" s="664" t="s">
        <v>505</v>
      </c>
      <c r="D685" s="664"/>
      <c r="E685" s="664"/>
      <c r="F685" s="665"/>
      <c r="G685" s="664" t="s">
        <v>262</v>
      </c>
      <c r="H685" s="664"/>
      <c r="I685" s="664"/>
      <c r="J685" s="727"/>
      <c r="K685" s="664"/>
      <c r="L685" s="666"/>
    </row>
    <row r="686" spans="1:12" hidden="1" outlineLevel="1" x14ac:dyDescent="0.35">
      <c r="A686" s="483"/>
      <c r="B686" s="762" t="s">
        <v>2001</v>
      </c>
      <c r="C686" s="664" t="s">
        <v>506</v>
      </c>
      <c r="D686" s="664"/>
      <c r="E686" s="664"/>
      <c r="F686" s="665"/>
      <c r="G686" s="664" t="s">
        <v>265</v>
      </c>
      <c r="H686" s="664"/>
      <c r="I686" s="664"/>
      <c r="J686" s="727"/>
      <c r="K686" s="664"/>
      <c r="L686" s="666"/>
    </row>
    <row r="687" spans="1:12" hidden="1" outlineLevel="1" x14ac:dyDescent="0.35">
      <c r="A687" s="483"/>
      <c r="B687" s="762" t="s">
        <v>2001</v>
      </c>
      <c r="C687" s="664" t="s">
        <v>507</v>
      </c>
      <c r="D687" s="664"/>
      <c r="E687" s="664"/>
      <c r="F687" s="665"/>
      <c r="G687" s="664" t="s">
        <v>357</v>
      </c>
      <c r="H687" s="664"/>
      <c r="I687" s="664"/>
      <c r="J687" s="727"/>
      <c r="K687" s="664"/>
      <c r="L687" s="666"/>
    </row>
    <row r="688" spans="1:12" hidden="1" outlineLevel="1" x14ac:dyDescent="0.35">
      <c r="A688" s="483"/>
      <c r="B688" s="762" t="s">
        <v>2001</v>
      </c>
      <c r="C688" s="664" t="s">
        <v>508</v>
      </c>
      <c r="D688" s="664"/>
      <c r="E688" s="664"/>
      <c r="F688" s="665"/>
      <c r="G688" s="664" t="s">
        <v>349</v>
      </c>
      <c r="H688" s="664"/>
      <c r="I688" s="664"/>
      <c r="J688" s="727"/>
      <c r="K688" s="664"/>
      <c r="L688" s="666"/>
    </row>
    <row r="689" spans="1:12" hidden="1" outlineLevel="1" x14ac:dyDescent="0.35">
      <c r="A689" s="483"/>
      <c r="B689" s="762" t="s">
        <v>2001</v>
      </c>
      <c r="C689" s="664" t="s">
        <v>509</v>
      </c>
      <c r="D689" s="664"/>
      <c r="E689" s="664"/>
      <c r="F689" s="665"/>
      <c r="G689" s="664" t="s">
        <v>256</v>
      </c>
      <c r="H689" s="664"/>
      <c r="I689" s="664"/>
      <c r="J689" s="727"/>
      <c r="K689" s="664"/>
      <c r="L689" s="666"/>
    </row>
    <row r="690" spans="1:12" hidden="1" outlineLevel="1" x14ac:dyDescent="0.35">
      <c r="A690" s="483"/>
      <c r="B690" s="762" t="s">
        <v>2001</v>
      </c>
      <c r="C690" s="664" t="s">
        <v>510</v>
      </c>
      <c r="D690" s="664"/>
      <c r="E690" s="664"/>
      <c r="F690" s="665"/>
      <c r="G690" s="664" t="s">
        <v>363</v>
      </c>
      <c r="H690" s="664"/>
      <c r="I690" s="664"/>
      <c r="J690" s="727"/>
      <c r="K690" s="664"/>
      <c r="L690" s="666"/>
    </row>
    <row r="691" spans="1:12" hidden="1" outlineLevel="1" x14ac:dyDescent="0.35">
      <c r="A691" s="483"/>
      <c r="B691" s="762" t="s">
        <v>2001</v>
      </c>
      <c r="C691" s="664" t="s">
        <v>511</v>
      </c>
      <c r="D691" s="664"/>
      <c r="E691" s="664"/>
      <c r="F691" s="665"/>
      <c r="G691" s="664" t="s">
        <v>271</v>
      </c>
      <c r="H691" s="664"/>
      <c r="I691" s="664"/>
      <c r="J691" s="727"/>
      <c r="K691" s="664"/>
      <c r="L691" s="666"/>
    </row>
    <row r="692" spans="1:12" hidden="1" outlineLevel="1" x14ac:dyDescent="0.35">
      <c r="A692" s="483"/>
      <c r="B692" s="762" t="s">
        <v>2001</v>
      </c>
      <c r="C692" s="664" t="s">
        <v>512</v>
      </c>
      <c r="D692" s="664"/>
      <c r="E692" s="664"/>
      <c r="F692" s="665"/>
      <c r="G692" s="664" t="s">
        <v>303</v>
      </c>
      <c r="H692" s="664"/>
      <c r="I692" s="664"/>
      <c r="J692" s="727"/>
      <c r="K692" s="664"/>
      <c r="L692" s="666"/>
    </row>
    <row r="693" spans="1:12" hidden="1" outlineLevel="1" x14ac:dyDescent="0.35">
      <c r="A693" s="483"/>
      <c r="B693" s="762" t="s">
        <v>2001</v>
      </c>
      <c r="C693" s="664" t="s">
        <v>513</v>
      </c>
      <c r="D693" s="664"/>
      <c r="E693" s="664"/>
      <c r="F693" s="665"/>
      <c r="G693" s="664" t="s">
        <v>327</v>
      </c>
      <c r="H693" s="664"/>
      <c r="I693" s="664"/>
      <c r="J693" s="727"/>
      <c r="K693" s="664"/>
      <c r="L693" s="666"/>
    </row>
    <row r="694" spans="1:12" hidden="1" outlineLevel="1" x14ac:dyDescent="0.35">
      <c r="A694" s="483"/>
      <c r="B694" s="762" t="s">
        <v>2001</v>
      </c>
      <c r="C694" s="664" t="s">
        <v>514</v>
      </c>
      <c r="D694" s="664"/>
      <c r="E694" s="664"/>
      <c r="F694" s="665"/>
      <c r="G694" s="664" t="s">
        <v>459</v>
      </c>
      <c r="H694" s="664"/>
      <c r="I694" s="664"/>
      <c r="J694" s="727"/>
      <c r="K694" s="664"/>
      <c r="L694" s="666"/>
    </row>
    <row r="695" spans="1:12" hidden="1" outlineLevel="1" x14ac:dyDescent="0.35">
      <c r="A695" s="483"/>
      <c r="B695" s="762" t="s">
        <v>2001</v>
      </c>
      <c r="C695" s="664" t="s">
        <v>515</v>
      </c>
      <c r="D695" s="664"/>
      <c r="E695" s="664"/>
      <c r="F695" s="665"/>
      <c r="G695" s="664" t="s">
        <v>443</v>
      </c>
      <c r="H695" s="664"/>
      <c r="I695" s="664"/>
      <c r="J695" s="727"/>
      <c r="K695" s="664"/>
      <c r="L695" s="666"/>
    </row>
    <row r="696" spans="1:12" hidden="1" outlineLevel="1" x14ac:dyDescent="0.35">
      <c r="A696" s="483"/>
      <c r="B696" s="762" t="s">
        <v>2001</v>
      </c>
      <c r="C696" s="664" t="s">
        <v>516</v>
      </c>
      <c r="D696" s="664"/>
      <c r="E696" s="664"/>
      <c r="F696" s="665"/>
      <c r="G696" s="664" t="s">
        <v>307</v>
      </c>
      <c r="H696" s="664"/>
      <c r="I696" s="664"/>
      <c r="J696" s="727"/>
      <c r="K696" s="664"/>
      <c r="L696" s="666"/>
    </row>
    <row r="697" spans="1:12" hidden="1" outlineLevel="1" x14ac:dyDescent="0.35">
      <c r="A697" s="483"/>
      <c r="B697" s="762" t="s">
        <v>2001</v>
      </c>
      <c r="C697" s="664" t="s">
        <v>517</v>
      </c>
      <c r="D697" s="664"/>
      <c r="E697" s="664"/>
      <c r="F697" s="665"/>
      <c r="G697" s="664" t="s">
        <v>279</v>
      </c>
      <c r="H697" s="664"/>
      <c r="I697" s="664"/>
      <c r="J697" s="727"/>
      <c r="K697" s="664"/>
      <c r="L697" s="666"/>
    </row>
    <row r="698" spans="1:12" hidden="1" outlineLevel="1" x14ac:dyDescent="0.35">
      <c r="A698" s="483"/>
      <c r="B698" s="762" t="s">
        <v>2001</v>
      </c>
      <c r="C698" s="664" t="s">
        <v>518</v>
      </c>
      <c r="D698" s="664"/>
      <c r="E698" s="664"/>
      <c r="F698" s="665"/>
      <c r="G698" s="664" t="s">
        <v>462</v>
      </c>
      <c r="H698" s="664"/>
      <c r="I698" s="664"/>
      <c r="J698" s="727"/>
      <c r="K698" s="664"/>
      <c r="L698" s="666"/>
    </row>
    <row r="699" spans="1:12" hidden="1" outlineLevel="1" x14ac:dyDescent="0.35">
      <c r="A699" s="483"/>
      <c r="B699" s="762" t="s">
        <v>2001</v>
      </c>
      <c r="C699" s="664" t="s">
        <v>519</v>
      </c>
      <c r="D699" s="664"/>
      <c r="E699" s="664"/>
      <c r="F699" s="665"/>
      <c r="G699" s="664" t="s">
        <v>460</v>
      </c>
      <c r="H699" s="664"/>
      <c r="I699" s="664"/>
      <c r="J699" s="727"/>
      <c r="K699" s="664"/>
      <c r="L699" s="666"/>
    </row>
    <row r="700" spans="1:12" hidden="1" outlineLevel="1" x14ac:dyDescent="0.35">
      <c r="A700" s="483"/>
      <c r="B700" s="762" t="s">
        <v>2001</v>
      </c>
      <c r="C700" s="664" t="s">
        <v>520</v>
      </c>
      <c r="D700" s="664"/>
      <c r="E700" s="664"/>
      <c r="F700" s="665"/>
      <c r="G700" s="664" t="s">
        <v>461</v>
      </c>
      <c r="H700" s="664"/>
      <c r="I700" s="664"/>
      <c r="J700" s="727"/>
      <c r="K700" s="664"/>
      <c r="L700" s="666"/>
    </row>
    <row r="701" spans="1:12" hidden="1" outlineLevel="1" x14ac:dyDescent="0.35">
      <c r="A701" s="483"/>
      <c r="B701" s="762" t="s">
        <v>2001</v>
      </c>
      <c r="C701" s="664" t="s">
        <v>521</v>
      </c>
      <c r="D701" s="664"/>
      <c r="E701" s="664"/>
      <c r="F701" s="665"/>
      <c r="G701" s="664" t="s">
        <v>491</v>
      </c>
      <c r="H701" s="664"/>
      <c r="I701" s="664"/>
      <c r="J701" s="727"/>
      <c r="K701" s="664"/>
      <c r="L701" s="666"/>
    </row>
    <row r="702" spans="1:12" hidden="1" outlineLevel="1" x14ac:dyDescent="0.35">
      <c r="A702" s="483"/>
      <c r="B702" s="762" t="s">
        <v>2001</v>
      </c>
      <c r="C702" s="664" t="s">
        <v>522</v>
      </c>
      <c r="D702" s="664"/>
      <c r="E702" s="664"/>
      <c r="F702" s="665"/>
      <c r="G702" s="664" t="s">
        <v>465</v>
      </c>
      <c r="H702" s="664"/>
      <c r="I702" s="664"/>
      <c r="J702" s="727"/>
      <c r="K702" s="664"/>
      <c r="L702" s="666"/>
    </row>
    <row r="703" spans="1:12" hidden="1" outlineLevel="1" x14ac:dyDescent="0.35">
      <c r="A703" s="483"/>
      <c r="B703" s="762" t="s">
        <v>2001</v>
      </c>
      <c r="C703" s="664" t="s">
        <v>523</v>
      </c>
      <c r="D703" s="664"/>
      <c r="E703" s="664"/>
      <c r="F703" s="665"/>
      <c r="G703" s="664" t="s">
        <v>485</v>
      </c>
      <c r="H703" s="664"/>
      <c r="I703" s="664"/>
      <c r="J703" s="727"/>
      <c r="K703" s="664"/>
      <c r="L703" s="666"/>
    </row>
    <row r="704" spans="1:12" hidden="1" outlineLevel="1" x14ac:dyDescent="0.35">
      <c r="A704" s="483"/>
      <c r="B704" s="762" t="s">
        <v>2001</v>
      </c>
      <c r="C704" s="664" t="s">
        <v>524</v>
      </c>
      <c r="D704" s="664"/>
      <c r="E704" s="664"/>
      <c r="F704" s="665"/>
      <c r="G704" s="664" t="s">
        <v>490</v>
      </c>
      <c r="H704" s="664"/>
      <c r="I704" s="664"/>
      <c r="J704" s="727"/>
      <c r="K704" s="664"/>
      <c r="L704" s="666"/>
    </row>
    <row r="705" spans="1:12" hidden="1" outlineLevel="1" x14ac:dyDescent="0.35">
      <c r="A705" s="483"/>
      <c r="B705" s="762" t="s">
        <v>2001</v>
      </c>
      <c r="C705" s="664" t="s">
        <v>525</v>
      </c>
      <c r="D705" s="664"/>
      <c r="E705" s="664"/>
      <c r="F705" s="665"/>
      <c r="G705" s="664" t="s">
        <v>444</v>
      </c>
      <c r="H705" s="664"/>
      <c r="I705" s="664"/>
      <c r="J705" s="727"/>
      <c r="K705" s="664"/>
      <c r="L705" s="666"/>
    </row>
    <row r="706" spans="1:12" hidden="1" outlineLevel="1" x14ac:dyDescent="0.35">
      <c r="A706" s="483"/>
      <c r="B706" s="762" t="s">
        <v>2001</v>
      </c>
      <c r="C706" s="664" t="s">
        <v>526</v>
      </c>
      <c r="D706" s="664"/>
      <c r="E706" s="664"/>
      <c r="F706" s="665"/>
      <c r="G706" s="664" t="s">
        <v>345</v>
      </c>
      <c r="H706" s="664"/>
      <c r="I706" s="664"/>
      <c r="J706" s="727"/>
      <c r="K706" s="664"/>
      <c r="L706" s="666"/>
    </row>
    <row r="707" spans="1:12" hidden="1" outlineLevel="1" x14ac:dyDescent="0.35">
      <c r="A707" s="483"/>
      <c r="B707" s="762" t="s">
        <v>2001</v>
      </c>
      <c r="C707" s="664" t="s">
        <v>527</v>
      </c>
      <c r="D707" s="664"/>
      <c r="E707" s="664"/>
      <c r="F707" s="665"/>
      <c r="G707" s="664" t="s">
        <v>456</v>
      </c>
      <c r="H707" s="664"/>
      <c r="I707" s="664"/>
      <c r="J707" s="727"/>
      <c r="K707" s="664"/>
      <c r="L707" s="666"/>
    </row>
    <row r="708" spans="1:12" hidden="1" outlineLevel="1" x14ac:dyDescent="0.35">
      <c r="A708" s="483"/>
      <c r="B708" s="762" t="s">
        <v>2001</v>
      </c>
      <c r="C708" s="664" t="s">
        <v>528</v>
      </c>
      <c r="D708" s="664"/>
      <c r="E708" s="664"/>
      <c r="F708" s="665"/>
      <c r="G708" s="664" t="s">
        <v>284</v>
      </c>
      <c r="H708" s="664"/>
      <c r="I708" s="664"/>
      <c r="J708" s="727"/>
      <c r="K708" s="664"/>
      <c r="L708" s="666"/>
    </row>
    <row r="709" spans="1:12" hidden="1" outlineLevel="1" x14ac:dyDescent="0.35">
      <c r="A709" s="483"/>
      <c r="B709" s="762" t="s">
        <v>2001</v>
      </c>
      <c r="C709" s="664" t="s">
        <v>529</v>
      </c>
      <c r="D709" s="664"/>
      <c r="E709" s="664"/>
      <c r="F709" s="665"/>
      <c r="G709" s="664" t="s">
        <v>280</v>
      </c>
      <c r="H709" s="664"/>
      <c r="I709" s="664"/>
      <c r="J709" s="727"/>
      <c r="K709" s="664"/>
      <c r="L709" s="666"/>
    </row>
    <row r="710" spans="1:12" hidden="1" outlineLevel="1" x14ac:dyDescent="0.35">
      <c r="A710" s="483"/>
      <c r="B710" s="762" t="s">
        <v>2001</v>
      </c>
      <c r="C710" s="664" t="s">
        <v>530</v>
      </c>
      <c r="D710" s="664"/>
      <c r="E710" s="664"/>
      <c r="F710" s="665"/>
      <c r="G710" s="664" t="s">
        <v>285</v>
      </c>
      <c r="H710" s="664"/>
      <c r="I710" s="664"/>
      <c r="J710" s="727"/>
      <c r="K710" s="664"/>
      <c r="L710" s="666"/>
    </row>
    <row r="711" spans="1:12" hidden="1" outlineLevel="1" x14ac:dyDescent="0.35">
      <c r="A711" s="483"/>
      <c r="B711" s="762" t="s">
        <v>2001</v>
      </c>
      <c r="C711" s="664" t="s">
        <v>531</v>
      </c>
      <c r="D711" s="664"/>
      <c r="E711" s="664"/>
      <c r="F711" s="665"/>
      <c r="G711" s="664" t="s">
        <v>452</v>
      </c>
      <c r="H711" s="664"/>
      <c r="I711" s="664"/>
      <c r="J711" s="727"/>
      <c r="K711" s="664"/>
      <c r="L711" s="666"/>
    </row>
    <row r="712" spans="1:12" hidden="1" outlineLevel="1" x14ac:dyDescent="0.35">
      <c r="A712" s="483"/>
      <c r="B712" s="762" t="s">
        <v>2001</v>
      </c>
      <c r="C712" s="664" t="s">
        <v>532</v>
      </c>
      <c r="D712" s="664"/>
      <c r="E712" s="664"/>
      <c r="F712" s="665"/>
      <c r="G712" s="664" t="s">
        <v>352</v>
      </c>
      <c r="H712" s="664"/>
      <c r="I712" s="664"/>
      <c r="J712" s="727"/>
      <c r="K712" s="664"/>
      <c r="L712" s="666"/>
    </row>
    <row r="713" spans="1:12" hidden="1" outlineLevel="1" x14ac:dyDescent="0.35">
      <c r="A713" s="483"/>
      <c r="B713" s="762" t="s">
        <v>2001</v>
      </c>
      <c r="C713" s="664" t="s">
        <v>533</v>
      </c>
      <c r="D713" s="664"/>
      <c r="E713" s="664"/>
      <c r="F713" s="665"/>
      <c r="G713" s="664" t="s">
        <v>383</v>
      </c>
      <c r="H713" s="664"/>
      <c r="I713" s="664"/>
      <c r="J713" s="727"/>
      <c r="K713" s="664"/>
      <c r="L713" s="666"/>
    </row>
    <row r="714" spans="1:12" hidden="1" outlineLevel="1" x14ac:dyDescent="0.35">
      <c r="A714" s="483"/>
      <c r="B714" s="762" t="s">
        <v>2001</v>
      </c>
      <c r="C714" s="664" t="s">
        <v>534</v>
      </c>
      <c r="D714" s="664"/>
      <c r="E714" s="664"/>
      <c r="F714" s="665"/>
      <c r="G714" s="664" t="s">
        <v>307</v>
      </c>
      <c r="H714" s="664"/>
      <c r="I714" s="664"/>
      <c r="J714" s="727"/>
      <c r="K714" s="664"/>
      <c r="L714" s="666"/>
    </row>
    <row r="715" spans="1:12" hidden="1" outlineLevel="1" x14ac:dyDescent="0.35">
      <c r="A715" s="483"/>
      <c r="B715" s="762" t="s">
        <v>2001</v>
      </c>
      <c r="C715" s="664" t="s">
        <v>535</v>
      </c>
      <c r="D715" s="664"/>
      <c r="E715" s="664"/>
      <c r="F715" s="665"/>
      <c r="G715" s="664" t="s">
        <v>270</v>
      </c>
      <c r="H715" s="664"/>
      <c r="I715" s="664"/>
      <c r="J715" s="727"/>
      <c r="K715" s="664"/>
      <c r="L715" s="666"/>
    </row>
    <row r="716" spans="1:12" hidden="1" outlineLevel="1" x14ac:dyDescent="0.35">
      <c r="A716" s="483"/>
      <c r="B716" s="762" t="s">
        <v>2001</v>
      </c>
      <c r="C716" s="664" t="s">
        <v>536</v>
      </c>
      <c r="D716" s="664"/>
      <c r="E716" s="664"/>
      <c r="F716" s="665"/>
      <c r="G716" s="664" t="s">
        <v>283</v>
      </c>
      <c r="H716" s="664"/>
      <c r="I716" s="664"/>
      <c r="J716" s="727"/>
      <c r="K716" s="664"/>
      <c r="L716" s="666"/>
    </row>
    <row r="717" spans="1:12" hidden="1" outlineLevel="1" x14ac:dyDescent="0.35">
      <c r="A717" s="483"/>
      <c r="B717" s="762" t="s">
        <v>2001</v>
      </c>
      <c r="C717" s="664" t="s">
        <v>537</v>
      </c>
      <c r="D717" s="664"/>
      <c r="E717" s="664"/>
      <c r="F717" s="665"/>
      <c r="G717" s="664" t="s">
        <v>337</v>
      </c>
      <c r="H717" s="664"/>
      <c r="I717" s="664"/>
      <c r="J717" s="727"/>
      <c r="K717" s="664"/>
      <c r="L717" s="666"/>
    </row>
    <row r="718" spans="1:12" hidden="1" outlineLevel="1" x14ac:dyDescent="0.35">
      <c r="A718" s="483"/>
      <c r="B718" s="762" t="s">
        <v>2001</v>
      </c>
      <c r="C718" s="664" t="s">
        <v>538</v>
      </c>
      <c r="D718" s="664"/>
      <c r="E718" s="664"/>
      <c r="F718" s="665"/>
      <c r="G718" s="664" t="s">
        <v>400</v>
      </c>
      <c r="H718" s="664"/>
      <c r="I718" s="664"/>
      <c r="J718" s="727"/>
      <c r="K718" s="664"/>
      <c r="L718" s="666"/>
    </row>
    <row r="719" spans="1:12" hidden="1" outlineLevel="1" x14ac:dyDescent="0.35">
      <c r="A719" s="483"/>
      <c r="B719" s="762" t="s">
        <v>2001</v>
      </c>
      <c r="C719" s="664" t="s">
        <v>539</v>
      </c>
      <c r="D719" s="664"/>
      <c r="E719" s="664"/>
      <c r="F719" s="665"/>
      <c r="G719" s="664" t="s">
        <v>464</v>
      </c>
      <c r="H719" s="664"/>
      <c r="I719" s="664"/>
      <c r="J719" s="727"/>
      <c r="K719" s="664"/>
      <c r="L719" s="666"/>
    </row>
    <row r="720" spans="1:12" hidden="1" outlineLevel="1" x14ac:dyDescent="0.35">
      <c r="A720" s="483"/>
      <c r="B720" s="762" t="s">
        <v>2001</v>
      </c>
      <c r="C720" s="664" t="s">
        <v>540</v>
      </c>
      <c r="D720" s="664"/>
      <c r="E720" s="664"/>
      <c r="F720" s="665"/>
      <c r="G720" s="664" t="s">
        <v>451</v>
      </c>
      <c r="H720" s="664"/>
      <c r="I720" s="664"/>
      <c r="J720" s="727"/>
      <c r="K720" s="664"/>
      <c r="L720" s="666"/>
    </row>
    <row r="721" spans="1:12" hidden="1" outlineLevel="1" x14ac:dyDescent="0.35">
      <c r="A721" s="483"/>
      <c r="B721" s="762" t="s">
        <v>2001</v>
      </c>
      <c r="C721" s="664" t="s">
        <v>541</v>
      </c>
      <c r="D721" s="664"/>
      <c r="E721" s="664"/>
      <c r="F721" s="665"/>
      <c r="G721" s="664" t="s">
        <v>467</v>
      </c>
      <c r="H721" s="664"/>
      <c r="I721" s="664"/>
      <c r="J721" s="727"/>
      <c r="K721" s="664"/>
      <c r="L721" s="666"/>
    </row>
    <row r="722" spans="1:12" hidden="1" outlineLevel="1" x14ac:dyDescent="0.35">
      <c r="A722" s="483"/>
      <c r="B722" s="762" t="s">
        <v>2001</v>
      </c>
      <c r="C722" s="664" t="s">
        <v>542</v>
      </c>
      <c r="D722" s="664"/>
      <c r="E722" s="664"/>
      <c r="F722" s="665"/>
      <c r="G722" s="664" t="s">
        <v>334</v>
      </c>
      <c r="H722" s="664"/>
      <c r="I722" s="664"/>
      <c r="J722" s="727"/>
      <c r="K722" s="664"/>
      <c r="L722" s="666"/>
    </row>
    <row r="723" spans="1:12" hidden="1" outlineLevel="1" x14ac:dyDescent="0.35">
      <c r="A723" s="483"/>
      <c r="B723" s="762" t="s">
        <v>2001</v>
      </c>
      <c r="C723" s="664" t="s">
        <v>543</v>
      </c>
      <c r="D723" s="664"/>
      <c r="E723" s="664"/>
      <c r="F723" s="665"/>
      <c r="G723" s="664" t="s">
        <v>316</v>
      </c>
      <c r="H723" s="664"/>
      <c r="I723" s="664"/>
      <c r="J723" s="727"/>
      <c r="K723" s="664"/>
      <c r="L723" s="666"/>
    </row>
    <row r="724" spans="1:12" hidden="1" outlineLevel="1" x14ac:dyDescent="0.35">
      <c r="A724" s="483"/>
      <c r="B724" s="762" t="s">
        <v>2001</v>
      </c>
      <c r="C724" s="664" t="s">
        <v>544</v>
      </c>
      <c r="D724" s="664"/>
      <c r="E724" s="664"/>
      <c r="F724" s="665"/>
      <c r="G724" s="664" t="s">
        <v>317</v>
      </c>
      <c r="H724" s="664"/>
      <c r="I724" s="664"/>
      <c r="J724" s="727"/>
      <c r="K724" s="664"/>
      <c r="L724" s="666"/>
    </row>
    <row r="725" spans="1:12" hidden="1" outlineLevel="1" x14ac:dyDescent="0.35">
      <c r="A725" s="483"/>
      <c r="B725" s="762" t="s">
        <v>2001</v>
      </c>
      <c r="C725" s="664" t="s">
        <v>545</v>
      </c>
      <c r="D725" s="664"/>
      <c r="E725" s="664"/>
      <c r="F725" s="665"/>
      <c r="G725" s="664" t="s">
        <v>315</v>
      </c>
      <c r="H725" s="664"/>
      <c r="I725" s="664"/>
      <c r="J725" s="727"/>
      <c r="K725" s="664"/>
      <c r="L725" s="666"/>
    </row>
    <row r="726" spans="1:12" hidden="1" outlineLevel="1" x14ac:dyDescent="0.35">
      <c r="A726" s="483"/>
      <c r="B726" s="762" t="s">
        <v>2001</v>
      </c>
      <c r="C726" s="664" t="s">
        <v>546</v>
      </c>
      <c r="D726" s="664"/>
      <c r="E726" s="664"/>
      <c r="F726" s="665"/>
      <c r="G726" s="664" t="s">
        <v>431</v>
      </c>
      <c r="H726" s="664"/>
      <c r="I726" s="664"/>
      <c r="J726" s="727"/>
      <c r="K726" s="664"/>
      <c r="L726" s="666"/>
    </row>
    <row r="727" spans="1:12" hidden="1" outlineLevel="1" x14ac:dyDescent="0.35">
      <c r="A727" s="483"/>
      <c r="B727" s="762" t="s">
        <v>2001</v>
      </c>
      <c r="C727" s="664" t="s">
        <v>547</v>
      </c>
      <c r="D727" s="664"/>
      <c r="E727" s="664"/>
      <c r="F727" s="665"/>
      <c r="G727" s="664" t="s">
        <v>450</v>
      </c>
      <c r="H727" s="664"/>
      <c r="I727" s="664"/>
      <c r="J727" s="727"/>
      <c r="K727" s="664"/>
      <c r="L727" s="666"/>
    </row>
    <row r="728" spans="1:12" hidden="1" outlineLevel="1" x14ac:dyDescent="0.35">
      <c r="A728" s="483"/>
      <c r="B728" s="762" t="s">
        <v>2001</v>
      </c>
      <c r="C728" s="664" t="s">
        <v>548</v>
      </c>
      <c r="D728" s="664"/>
      <c r="E728" s="664"/>
      <c r="F728" s="665"/>
      <c r="G728" s="664" t="s">
        <v>348</v>
      </c>
      <c r="H728" s="664"/>
      <c r="I728" s="664"/>
      <c r="J728" s="727"/>
      <c r="K728" s="664"/>
      <c r="L728" s="666"/>
    </row>
    <row r="729" spans="1:12" hidden="1" outlineLevel="1" x14ac:dyDescent="0.35">
      <c r="A729" s="483"/>
      <c r="B729" s="762" t="s">
        <v>2001</v>
      </c>
      <c r="C729" s="664" t="s">
        <v>549</v>
      </c>
      <c r="D729" s="664"/>
      <c r="E729" s="664"/>
      <c r="F729" s="665"/>
      <c r="G729" s="664" t="s">
        <v>266</v>
      </c>
      <c r="H729" s="664"/>
      <c r="I729" s="664"/>
      <c r="J729" s="727"/>
      <c r="K729" s="664"/>
      <c r="L729" s="666"/>
    </row>
    <row r="730" spans="1:12" hidden="1" outlineLevel="1" x14ac:dyDescent="0.35">
      <c r="A730" s="483"/>
      <c r="B730" s="762" t="s">
        <v>2001</v>
      </c>
      <c r="C730" s="664" t="s">
        <v>550</v>
      </c>
      <c r="D730" s="664"/>
      <c r="E730" s="664"/>
      <c r="F730" s="665"/>
      <c r="G730" s="664" t="s">
        <v>286</v>
      </c>
      <c r="H730" s="664"/>
      <c r="I730" s="664"/>
      <c r="J730" s="727"/>
      <c r="K730" s="664"/>
      <c r="L730" s="666"/>
    </row>
    <row r="731" spans="1:12" hidden="1" outlineLevel="1" x14ac:dyDescent="0.35">
      <c r="A731" s="483"/>
      <c r="B731" s="762" t="s">
        <v>2001</v>
      </c>
      <c r="C731" s="664" t="s">
        <v>551</v>
      </c>
      <c r="D731" s="664"/>
      <c r="E731" s="664"/>
      <c r="F731" s="665"/>
      <c r="G731" s="664" t="s">
        <v>435</v>
      </c>
      <c r="H731" s="664"/>
      <c r="I731" s="664"/>
      <c r="J731" s="727"/>
      <c r="K731" s="664"/>
      <c r="L731" s="666"/>
    </row>
    <row r="732" spans="1:12" hidden="1" outlineLevel="1" x14ac:dyDescent="0.35">
      <c r="A732" s="483"/>
      <c r="B732" s="762" t="s">
        <v>2001</v>
      </c>
      <c r="C732" s="664" t="s">
        <v>552</v>
      </c>
      <c r="D732" s="664"/>
      <c r="E732" s="664"/>
      <c r="F732" s="665"/>
      <c r="G732" s="664" t="s">
        <v>436</v>
      </c>
      <c r="H732" s="664"/>
      <c r="I732" s="664"/>
      <c r="J732" s="727"/>
      <c r="K732" s="664"/>
      <c r="L732" s="666"/>
    </row>
    <row r="733" spans="1:12" hidden="1" outlineLevel="1" x14ac:dyDescent="0.35">
      <c r="A733" s="483"/>
      <c r="B733" s="762" t="s">
        <v>2001</v>
      </c>
      <c r="C733" s="664" t="s">
        <v>553</v>
      </c>
      <c r="D733" s="664"/>
      <c r="E733" s="664"/>
      <c r="F733" s="665"/>
      <c r="G733" s="664" t="s">
        <v>362</v>
      </c>
      <c r="H733" s="664"/>
      <c r="I733" s="664"/>
      <c r="J733" s="727"/>
      <c r="K733" s="664"/>
      <c r="L733" s="666"/>
    </row>
    <row r="734" spans="1:12" hidden="1" outlineLevel="1" x14ac:dyDescent="0.35">
      <c r="A734" s="483"/>
      <c r="B734" s="762" t="s">
        <v>2001</v>
      </c>
      <c r="C734" s="664" t="s">
        <v>554</v>
      </c>
      <c r="D734" s="664"/>
      <c r="E734" s="664"/>
      <c r="F734" s="665"/>
      <c r="G734" s="664" t="s">
        <v>438</v>
      </c>
      <c r="H734" s="664"/>
      <c r="I734" s="664"/>
      <c r="J734" s="727"/>
      <c r="K734" s="664"/>
      <c r="L734" s="666"/>
    </row>
    <row r="735" spans="1:12" hidden="1" outlineLevel="1" x14ac:dyDescent="0.35">
      <c r="A735" s="483"/>
      <c r="B735" s="762" t="s">
        <v>2001</v>
      </c>
      <c r="C735" s="664" t="s">
        <v>555</v>
      </c>
      <c r="D735" s="664"/>
      <c r="E735" s="664"/>
      <c r="F735" s="665"/>
      <c r="G735" s="664" t="s">
        <v>453</v>
      </c>
      <c r="H735" s="664"/>
      <c r="I735" s="664"/>
      <c r="J735" s="727"/>
      <c r="K735" s="664"/>
      <c r="L735" s="666"/>
    </row>
    <row r="736" spans="1:12" hidden="1" outlineLevel="1" x14ac:dyDescent="0.35">
      <c r="A736" s="483"/>
      <c r="B736" s="762" t="s">
        <v>2001</v>
      </c>
      <c r="C736" s="664" t="s">
        <v>556</v>
      </c>
      <c r="D736" s="664"/>
      <c r="E736" s="664"/>
      <c r="F736" s="665"/>
      <c r="G736" s="664" t="s">
        <v>394</v>
      </c>
      <c r="H736" s="664"/>
      <c r="I736" s="664"/>
      <c r="J736" s="727"/>
      <c r="K736" s="664"/>
      <c r="L736" s="666"/>
    </row>
    <row r="737" spans="1:12" hidden="1" outlineLevel="1" x14ac:dyDescent="0.35">
      <c r="A737" s="483"/>
      <c r="B737" s="762" t="s">
        <v>2001</v>
      </c>
      <c r="C737" s="664" t="s">
        <v>557</v>
      </c>
      <c r="D737" s="664"/>
      <c r="E737" s="664"/>
      <c r="F737" s="665"/>
      <c r="G737" s="664" t="s">
        <v>365</v>
      </c>
      <c r="H737" s="664"/>
      <c r="I737" s="664"/>
      <c r="J737" s="727"/>
      <c r="K737" s="664"/>
      <c r="L737" s="666"/>
    </row>
    <row r="738" spans="1:12" hidden="1" outlineLevel="1" x14ac:dyDescent="0.35">
      <c r="A738" s="483"/>
      <c r="B738" s="762" t="s">
        <v>2001</v>
      </c>
      <c r="C738" s="664" t="s">
        <v>558</v>
      </c>
      <c r="D738" s="664"/>
      <c r="E738" s="664"/>
      <c r="F738" s="665"/>
      <c r="G738" s="664" t="s">
        <v>304</v>
      </c>
      <c r="H738" s="664"/>
      <c r="I738" s="664"/>
      <c r="J738" s="727"/>
      <c r="K738" s="664"/>
      <c r="L738" s="666"/>
    </row>
    <row r="739" spans="1:12" hidden="1" outlineLevel="1" x14ac:dyDescent="0.35">
      <c r="A739" s="483"/>
      <c r="B739" s="762" t="s">
        <v>2001</v>
      </c>
      <c r="C739" s="664" t="s">
        <v>559</v>
      </c>
      <c r="D739" s="664"/>
      <c r="E739" s="664"/>
      <c r="F739" s="665"/>
      <c r="G739" s="664" t="s">
        <v>422</v>
      </c>
      <c r="H739" s="664"/>
      <c r="I739" s="664"/>
      <c r="J739" s="727"/>
      <c r="K739" s="664"/>
      <c r="L739" s="666"/>
    </row>
    <row r="740" spans="1:12" hidden="1" outlineLevel="1" x14ac:dyDescent="0.35">
      <c r="A740" s="483"/>
      <c r="B740" s="762" t="s">
        <v>2001</v>
      </c>
      <c r="C740" s="664" t="s">
        <v>560</v>
      </c>
      <c r="D740" s="664"/>
      <c r="E740" s="664"/>
      <c r="F740" s="665"/>
      <c r="G740" s="664" t="s">
        <v>455</v>
      </c>
      <c r="H740" s="664"/>
      <c r="I740" s="664"/>
      <c r="J740" s="727"/>
      <c r="K740" s="664"/>
      <c r="L740" s="666"/>
    </row>
    <row r="741" spans="1:12" hidden="1" outlineLevel="1" x14ac:dyDescent="0.35">
      <c r="A741" s="483"/>
      <c r="B741" s="762" t="s">
        <v>2001</v>
      </c>
      <c r="C741" s="664" t="s">
        <v>561</v>
      </c>
      <c r="D741" s="664"/>
      <c r="E741" s="664"/>
      <c r="F741" s="665"/>
      <c r="G741" s="664" t="s">
        <v>253</v>
      </c>
      <c r="H741" s="664"/>
      <c r="I741" s="664"/>
      <c r="J741" s="727"/>
      <c r="K741" s="664"/>
      <c r="L741" s="666"/>
    </row>
    <row r="742" spans="1:12" hidden="1" outlineLevel="1" x14ac:dyDescent="0.35">
      <c r="A742" s="483"/>
      <c r="B742" s="762" t="s">
        <v>2001</v>
      </c>
      <c r="C742" s="664" t="s">
        <v>562</v>
      </c>
      <c r="D742" s="664"/>
      <c r="E742" s="664"/>
      <c r="F742" s="665"/>
      <c r="G742" s="664" t="s">
        <v>427</v>
      </c>
      <c r="H742" s="664"/>
      <c r="I742" s="664"/>
      <c r="J742" s="727"/>
      <c r="K742" s="664"/>
      <c r="L742" s="666"/>
    </row>
    <row r="743" spans="1:12" hidden="1" outlineLevel="1" x14ac:dyDescent="0.35">
      <c r="A743" s="483"/>
      <c r="B743" s="762" t="s">
        <v>2001</v>
      </c>
      <c r="C743" s="664" t="s">
        <v>563</v>
      </c>
      <c r="D743" s="664"/>
      <c r="E743" s="664"/>
      <c r="F743" s="665"/>
      <c r="G743" s="664" t="s">
        <v>259</v>
      </c>
      <c r="H743" s="664"/>
      <c r="I743" s="664"/>
      <c r="J743" s="727"/>
      <c r="K743" s="664"/>
      <c r="L743" s="666"/>
    </row>
    <row r="744" spans="1:12" hidden="1" outlineLevel="1" x14ac:dyDescent="0.35">
      <c r="A744" s="483"/>
      <c r="B744" s="762" t="s">
        <v>2001</v>
      </c>
      <c r="C744" s="664" t="s">
        <v>564</v>
      </c>
      <c r="D744" s="664"/>
      <c r="E744" s="664"/>
      <c r="F744" s="665"/>
      <c r="G744" s="664" t="s">
        <v>433</v>
      </c>
      <c r="H744" s="664"/>
      <c r="I744" s="664"/>
      <c r="J744" s="727"/>
      <c r="K744" s="664"/>
      <c r="L744" s="666"/>
    </row>
    <row r="745" spans="1:12" hidden="1" outlineLevel="1" x14ac:dyDescent="0.35">
      <c r="A745" s="483"/>
      <c r="B745" s="762" t="s">
        <v>2001</v>
      </c>
      <c r="C745" s="664" t="s">
        <v>565</v>
      </c>
      <c r="D745" s="664"/>
      <c r="E745" s="664"/>
      <c r="F745" s="665"/>
      <c r="G745" s="664" t="s">
        <v>458</v>
      </c>
      <c r="H745" s="664"/>
      <c r="I745" s="664"/>
      <c r="J745" s="727"/>
      <c r="K745" s="664"/>
      <c r="L745" s="666"/>
    </row>
    <row r="746" spans="1:12" hidden="1" outlineLevel="1" x14ac:dyDescent="0.35">
      <c r="A746" s="483"/>
      <c r="B746" s="762" t="s">
        <v>2001</v>
      </c>
      <c r="C746" s="664" t="s">
        <v>566</v>
      </c>
      <c r="D746" s="664"/>
      <c r="E746" s="664"/>
      <c r="F746" s="665"/>
      <c r="G746" s="664" t="s">
        <v>371</v>
      </c>
      <c r="H746" s="664"/>
      <c r="I746" s="664"/>
      <c r="J746" s="727"/>
      <c r="K746" s="664"/>
      <c r="L746" s="666"/>
    </row>
    <row r="747" spans="1:12" hidden="1" outlineLevel="1" x14ac:dyDescent="0.35">
      <c r="A747" s="483"/>
      <c r="B747" s="762" t="s">
        <v>2001</v>
      </c>
      <c r="C747" s="664" t="s">
        <v>567</v>
      </c>
      <c r="D747" s="664"/>
      <c r="E747" s="664"/>
      <c r="F747" s="665"/>
      <c r="G747" s="664" t="s">
        <v>369</v>
      </c>
      <c r="H747" s="664"/>
      <c r="I747" s="664"/>
      <c r="J747" s="727"/>
      <c r="K747" s="664"/>
      <c r="L747" s="666"/>
    </row>
    <row r="748" spans="1:12" hidden="1" outlineLevel="1" x14ac:dyDescent="0.35">
      <c r="A748" s="483"/>
      <c r="B748" s="762" t="s">
        <v>2001</v>
      </c>
      <c r="C748" s="664" t="s">
        <v>568</v>
      </c>
      <c r="D748" s="664"/>
      <c r="E748" s="664"/>
      <c r="F748" s="665"/>
      <c r="G748" s="664" t="s">
        <v>234</v>
      </c>
      <c r="H748" s="664"/>
      <c r="I748" s="664"/>
      <c r="J748" s="727"/>
      <c r="K748" s="664"/>
      <c r="L748" s="666"/>
    </row>
    <row r="749" spans="1:12" hidden="1" outlineLevel="1" x14ac:dyDescent="0.35">
      <c r="A749" s="483"/>
      <c r="B749" s="762" t="s">
        <v>2001</v>
      </c>
      <c r="C749" s="664" t="s">
        <v>569</v>
      </c>
      <c r="D749" s="664"/>
      <c r="E749" s="664"/>
      <c r="F749" s="665"/>
      <c r="G749" s="664" t="s">
        <v>447</v>
      </c>
      <c r="H749" s="664"/>
      <c r="I749" s="664"/>
      <c r="J749" s="727"/>
      <c r="K749" s="664"/>
      <c r="L749" s="666"/>
    </row>
    <row r="750" spans="1:12" hidden="1" outlineLevel="1" x14ac:dyDescent="0.35">
      <c r="A750" s="483"/>
      <c r="B750" s="762" t="s">
        <v>2001</v>
      </c>
      <c r="C750" s="664" t="s">
        <v>570</v>
      </c>
      <c r="D750" s="664"/>
      <c r="E750" s="664"/>
      <c r="F750" s="665"/>
      <c r="G750" s="664" t="s">
        <v>273</v>
      </c>
      <c r="H750" s="664"/>
      <c r="I750" s="664"/>
      <c r="J750" s="727"/>
      <c r="K750" s="664"/>
      <c r="L750" s="666"/>
    </row>
    <row r="751" spans="1:12" hidden="1" outlineLevel="1" x14ac:dyDescent="0.35">
      <c r="A751" s="483"/>
      <c r="B751" s="762" t="s">
        <v>2001</v>
      </c>
      <c r="C751" s="664" t="s">
        <v>571</v>
      </c>
      <c r="D751" s="664"/>
      <c r="E751" s="664"/>
      <c r="F751" s="665"/>
      <c r="G751" s="664" t="s">
        <v>443</v>
      </c>
      <c r="H751" s="664"/>
      <c r="I751" s="664"/>
      <c r="J751" s="727"/>
      <c r="K751" s="664"/>
      <c r="L751" s="666"/>
    </row>
    <row r="752" spans="1:12" hidden="1" outlineLevel="1" x14ac:dyDescent="0.35">
      <c r="A752" s="483"/>
      <c r="B752" s="762" t="s">
        <v>2001</v>
      </c>
      <c r="C752" s="664" t="s">
        <v>572</v>
      </c>
      <c r="D752" s="664"/>
      <c r="E752" s="664"/>
      <c r="F752" s="665"/>
      <c r="G752" s="664" t="s">
        <v>272</v>
      </c>
      <c r="H752" s="664"/>
      <c r="I752" s="664"/>
      <c r="J752" s="727"/>
      <c r="K752" s="664"/>
      <c r="L752" s="666"/>
    </row>
    <row r="753" spans="1:19" hidden="1" outlineLevel="1" x14ac:dyDescent="0.35">
      <c r="A753" s="483"/>
      <c r="B753" s="762" t="s">
        <v>2001</v>
      </c>
      <c r="C753" s="664" t="s">
        <v>573</v>
      </c>
      <c r="D753" s="664"/>
      <c r="E753" s="664"/>
      <c r="F753" s="665"/>
      <c r="G753" s="664" t="s">
        <v>574</v>
      </c>
      <c r="H753" s="664"/>
      <c r="I753" s="664"/>
      <c r="J753" s="727"/>
      <c r="K753" s="664"/>
      <c r="L753" s="666"/>
    </row>
    <row r="754" spans="1:19" hidden="1" outlineLevel="1" x14ac:dyDescent="0.35">
      <c r="A754" s="483"/>
      <c r="B754" s="762" t="s">
        <v>2001</v>
      </c>
      <c r="C754" s="664" t="s">
        <v>575</v>
      </c>
      <c r="D754" s="664"/>
      <c r="E754" s="664"/>
      <c r="F754" s="665"/>
      <c r="G754" s="664" t="s">
        <v>318</v>
      </c>
      <c r="H754" s="664"/>
      <c r="I754" s="664"/>
      <c r="J754" s="727"/>
      <c r="K754" s="664"/>
      <c r="L754" s="666"/>
    </row>
    <row r="755" spans="1:19" hidden="1" outlineLevel="1" x14ac:dyDescent="0.35">
      <c r="A755" s="483"/>
      <c r="B755" s="762" t="s">
        <v>2001</v>
      </c>
      <c r="C755" s="664" t="s">
        <v>576</v>
      </c>
      <c r="D755" s="664"/>
      <c r="E755" s="664"/>
      <c r="F755" s="665"/>
      <c r="G755" s="664" t="s">
        <v>367</v>
      </c>
      <c r="H755" s="664"/>
      <c r="I755" s="664"/>
      <c r="J755" s="727"/>
      <c r="K755" s="664"/>
      <c r="L755" s="666"/>
    </row>
    <row r="756" spans="1:19" hidden="1" outlineLevel="1" x14ac:dyDescent="0.35">
      <c r="A756" s="483"/>
      <c r="B756" s="762" t="s">
        <v>2001</v>
      </c>
      <c r="C756" s="664" t="s">
        <v>577</v>
      </c>
      <c r="D756" s="664"/>
      <c r="E756" s="664"/>
      <c r="F756" s="665"/>
      <c r="G756" s="664" t="s">
        <v>470</v>
      </c>
      <c r="H756" s="664"/>
      <c r="I756" s="664"/>
      <c r="J756" s="727"/>
      <c r="K756" s="664"/>
      <c r="L756" s="666"/>
    </row>
    <row r="757" spans="1:19" hidden="1" outlineLevel="1" x14ac:dyDescent="0.35">
      <c r="A757" s="483"/>
      <c r="B757" s="762" t="s">
        <v>2001</v>
      </c>
      <c r="C757" s="664" t="s">
        <v>578</v>
      </c>
      <c r="D757" s="664"/>
      <c r="E757" s="664"/>
      <c r="F757" s="665"/>
      <c r="G757" s="664" t="s">
        <v>443</v>
      </c>
      <c r="H757" s="664"/>
      <c r="I757" s="664"/>
      <c r="J757" s="727"/>
      <c r="K757" s="664"/>
      <c r="L757" s="666"/>
    </row>
    <row r="758" spans="1:19" hidden="1" outlineLevel="1" x14ac:dyDescent="0.35">
      <c r="A758" s="483"/>
      <c r="B758" s="762" t="s">
        <v>2001</v>
      </c>
      <c r="C758" s="664" t="s">
        <v>579</v>
      </c>
      <c r="D758" s="664"/>
      <c r="E758" s="664"/>
      <c r="F758" s="665"/>
      <c r="G758" s="664" t="s">
        <v>457</v>
      </c>
      <c r="H758" s="664"/>
      <c r="I758" s="664"/>
      <c r="J758" s="727"/>
      <c r="K758" s="664"/>
      <c r="L758" s="666"/>
    </row>
    <row r="759" spans="1:19" hidden="1" outlineLevel="1" x14ac:dyDescent="0.35">
      <c r="A759" s="483"/>
      <c r="B759" s="762" t="s">
        <v>2001</v>
      </c>
      <c r="C759" s="664" t="s">
        <v>580</v>
      </c>
      <c r="D759" s="664"/>
      <c r="E759" s="664"/>
      <c r="F759" s="665"/>
      <c r="G759" s="664" t="s">
        <v>480</v>
      </c>
      <c r="H759" s="664"/>
      <c r="I759" s="664"/>
      <c r="J759" s="727"/>
      <c r="K759" s="664"/>
      <c r="L759" s="666"/>
    </row>
    <row r="760" spans="1:19" hidden="1" outlineLevel="1" x14ac:dyDescent="0.35">
      <c r="A760" s="483"/>
      <c r="B760" s="762" t="s">
        <v>2001</v>
      </c>
      <c r="C760" s="664" t="s">
        <v>525</v>
      </c>
      <c r="D760" s="664"/>
      <c r="E760" s="664"/>
      <c r="F760" s="665"/>
      <c r="G760" s="664" t="s">
        <v>444</v>
      </c>
      <c r="H760" s="664"/>
      <c r="I760" s="664"/>
      <c r="J760" s="727"/>
      <c r="K760" s="664"/>
      <c r="L760" s="666"/>
    </row>
    <row r="761" spans="1:19" hidden="1" outlineLevel="1" x14ac:dyDescent="0.35">
      <c r="A761" s="483"/>
      <c r="B761" s="762" t="s">
        <v>2001</v>
      </c>
      <c r="C761" s="664" t="s">
        <v>2329</v>
      </c>
      <c r="D761" s="664"/>
      <c r="E761" s="664"/>
      <c r="F761" s="665"/>
      <c r="G761" s="664" t="s">
        <v>382</v>
      </c>
      <c r="H761" s="664"/>
      <c r="I761" s="664"/>
      <c r="J761" s="727"/>
      <c r="K761" s="664"/>
      <c r="L761" s="666"/>
    </row>
    <row r="762" spans="1:19" ht="15" hidden="1" outlineLevel="1" thickBot="1" x14ac:dyDescent="0.4">
      <c r="A762" s="483"/>
      <c r="B762" s="761"/>
      <c r="C762" s="670"/>
      <c r="D762" s="670"/>
      <c r="E762" s="670"/>
      <c r="F762" s="671"/>
      <c r="G762" s="670"/>
      <c r="H762" s="670"/>
      <c r="I762" s="670"/>
      <c r="J762" s="728"/>
      <c r="K762" s="670"/>
      <c r="L762" s="711"/>
    </row>
    <row r="763" spans="1:19" ht="15.5" collapsed="1" thickTop="1" thickBot="1" x14ac:dyDescent="0.4">
      <c r="B763" s="2"/>
    </row>
    <row r="764" spans="1:19" ht="23" thickBot="1" x14ac:dyDescent="0.4">
      <c r="B764" s="524"/>
      <c r="C764" s="525" t="s">
        <v>581</v>
      </c>
      <c r="D764" s="525"/>
      <c r="E764" s="525"/>
      <c r="F764" s="525"/>
      <c r="G764" s="525"/>
      <c r="H764" s="525"/>
      <c r="I764" s="525"/>
      <c r="J764" s="525"/>
      <c r="K764" s="527"/>
      <c r="L764" s="526"/>
    </row>
    <row r="765" spans="1:19" s="2" customFormat="1" ht="15.5" hidden="1" outlineLevel="1" thickTop="1" thickBot="1" x14ac:dyDescent="0.4">
      <c r="B765" s="721"/>
      <c r="C765" s="719" t="s">
        <v>79</v>
      </c>
      <c r="D765" s="719"/>
      <c r="E765" s="719"/>
      <c r="F765" s="719"/>
      <c r="G765" s="719"/>
      <c r="H765" s="719"/>
      <c r="I765" s="719"/>
      <c r="J765" s="719"/>
      <c r="K765" s="719"/>
      <c r="L765" s="720"/>
      <c r="M765" s="385"/>
      <c r="S765" s="783"/>
    </row>
    <row r="766" spans="1:19" ht="15" hidden="1" outlineLevel="1" thickTop="1" x14ac:dyDescent="0.35">
      <c r="A766" s="483"/>
      <c r="B766" s="759" t="s">
        <v>2002</v>
      </c>
      <c r="C766" s="757" t="s">
        <v>234</v>
      </c>
      <c r="D766" s="664"/>
      <c r="E766" s="664"/>
      <c r="F766" s="665"/>
      <c r="G766" s="664"/>
      <c r="H766" s="664"/>
      <c r="I766" s="664"/>
      <c r="J766" s="727"/>
      <c r="K766" s="664"/>
      <c r="L766" s="666"/>
    </row>
    <row r="767" spans="1:19" hidden="1" outlineLevel="1" x14ac:dyDescent="0.35">
      <c r="A767" s="483"/>
      <c r="B767" s="762" t="s">
        <v>2002</v>
      </c>
      <c r="C767" s="664" t="s">
        <v>235</v>
      </c>
      <c r="D767" s="664"/>
      <c r="E767" s="664"/>
      <c r="F767" s="665"/>
      <c r="G767" s="664"/>
      <c r="H767" s="664"/>
      <c r="I767" s="664"/>
      <c r="J767" s="727"/>
      <c r="K767" s="664"/>
      <c r="L767" s="666"/>
    </row>
    <row r="768" spans="1:19" hidden="1" outlineLevel="1" x14ac:dyDescent="0.35">
      <c r="A768" s="483"/>
      <c r="B768" s="762" t="s">
        <v>2002</v>
      </c>
      <c r="C768" s="664" t="s">
        <v>236</v>
      </c>
      <c r="D768" s="664"/>
      <c r="E768" s="664"/>
      <c r="F768" s="665"/>
      <c r="G768" s="664"/>
      <c r="H768" s="664"/>
      <c r="I768" s="664"/>
      <c r="J768" s="727"/>
      <c r="K768" s="664"/>
      <c r="L768" s="666"/>
    </row>
    <row r="769" spans="1:12" hidden="1" outlineLevel="1" x14ac:dyDescent="0.35">
      <c r="A769" s="483"/>
      <c r="B769" s="762" t="s">
        <v>2002</v>
      </c>
      <c r="C769" s="664" t="s">
        <v>237</v>
      </c>
      <c r="D769" s="664"/>
      <c r="E769" s="664"/>
      <c r="F769" s="665"/>
      <c r="G769" s="664"/>
      <c r="H769" s="664"/>
      <c r="I769" s="664"/>
      <c r="J769" s="727"/>
      <c r="K769" s="664"/>
      <c r="L769" s="666"/>
    </row>
    <row r="770" spans="1:12" hidden="1" outlineLevel="1" x14ac:dyDescent="0.35">
      <c r="A770" s="483"/>
      <c r="B770" s="762" t="s">
        <v>2002</v>
      </c>
      <c r="C770" s="664" t="s">
        <v>238</v>
      </c>
      <c r="D770" s="664"/>
      <c r="E770" s="664"/>
      <c r="F770" s="665"/>
      <c r="G770" s="664"/>
      <c r="H770" s="664"/>
      <c r="I770" s="664"/>
      <c r="J770" s="727"/>
      <c r="K770" s="664"/>
      <c r="L770" s="666"/>
    </row>
    <row r="771" spans="1:12" hidden="1" outlineLevel="1" x14ac:dyDescent="0.35">
      <c r="A771" s="483"/>
      <c r="B771" s="762" t="s">
        <v>2002</v>
      </c>
      <c r="C771" s="664" t="s">
        <v>239</v>
      </c>
      <c r="D771" s="664"/>
      <c r="E771" s="664"/>
      <c r="F771" s="665"/>
      <c r="G771" s="664"/>
      <c r="H771" s="664"/>
      <c r="I771" s="664"/>
      <c r="J771" s="727"/>
      <c r="K771" s="664"/>
      <c r="L771" s="666"/>
    </row>
    <row r="772" spans="1:12" hidden="1" outlineLevel="1" x14ac:dyDescent="0.35">
      <c r="A772" s="483"/>
      <c r="B772" s="762" t="s">
        <v>2002</v>
      </c>
      <c r="C772" s="664" t="s">
        <v>240</v>
      </c>
      <c r="D772" s="664"/>
      <c r="E772" s="664"/>
      <c r="F772" s="665"/>
      <c r="G772" s="664"/>
      <c r="H772" s="664"/>
      <c r="I772" s="664"/>
      <c r="J772" s="727"/>
      <c r="K772" s="664"/>
      <c r="L772" s="666"/>
    </row>
    <row r="773" spans="1:12" hidden="1" outlineLevel="1" x14ac:dyDescent="0.35">
      <c r="A773" s="483"/>
      <c r="B773" s="762" t="s">
        <v>2002</v>
      </c>
      <c r="C773" s="664" t="s">
        <v>241</v>
      </c>
      <c r="D773" s="664"/>
      <c r="E773" s="664"/>
      <c r="F773" s="665"/>
      <c r="G773" s="664"/>
      <c r="H773" s="664"/>
      <c r="I773" s="664"/>
      <c r="J773" s="727"/>
      <c r="K773" s="664"/>
      <c r="L773" s="666"/>
    </row>
    <row r="774" spans="1:12" hidden="1" outlineLevel="1" x14ac:dyDescent="0.35">
      <c r="A774" s="483"/>
      <c r="B774" s="762" t="s">
        <v>2002</v>
      </c>
      <c r="C774" s="664" t="s">
        <v>242</v>
      </c>
      <c r="D774" s="664"/>
      <c r="E774" s="664"/>
      <c r="F774" s="665"/>
      <c r="G774" s="664"/>
      <c r="H774" s="664"/>
      <c r="I774" s="664"/>
      <c r="J774" s="727"/>
      <c r="K774" s="664"/>
      <c r="L774" s="666"/>
    </row>
    <row r="775" spans="1:12" hidden="1" outlineLevel="1" x14ac:dyDescent="0.35">
      <c r="A775" s="483"/>
      <c r="B775" s="762" t="s">
        <v>2002</v>
      </c>
      <c r="C775" s="664" t="s">
        <v>243</v>
      </c>
      <c r="D775" s="664"/>
      <c r="E775" s="664"/>
      <c r="F775" s="665"/>
      <c r="G775" s="664"/>
      <c r="H775" s="664"/>
      <c r="I775" s="664"/>
      <c r="J775" s="727"/>
      <c r="K775" s="664"/>
      <c r="L775" s="666"/>
    </row>
    <row r="776" spans="1:12" hidden="1" outlineLevel="1" x14ac:dyDescent="0.35">
      <c r="A776" s="483"/>
      <c r="B776" s="762" t="s">
        <v>2002</v>
      </c>
      <c r="C776" s="664" t="s">
        <v>244</v>
      </c>
      <c r="D776" s="664"/>
      <c r="E776" s="664"/>
      <c r="F776" s="665"/>
      <c r="G776" s="664"/>
      <c r="H776" s="664"/>
      <c r="I776" s="664"/>
      <c r="J776" s="727"/>
      <c r="K776" s="664"/>
      <c r="L776" s="666"/>
    </row>
    <row r="777" spans="1:12" hidden="1" outlineLevel="1" x14ac:dyDescent="0.35">
      <c r="A777" s="483"/>
      <c r="B777" s="762" t="s">
        <v>2002</v>
      </c>
      <c r="C777" s="664" t="s">
        <v>245</v>
      </c>
      <c r="D777" s="664"/>
      <c r="E777" s="664"/>
      <c r="F777" s="665"/>
      <c r="G777" s="664"/>
      <c r="H777" s="664"/>
      <c r="I777" s="664"/>
      <c r="J777" s="727"/>
      <c r="K777" s="664"/>
      <c r="L777" s="666"/>
    </row>
    <row r="778" spans="1:12" hidden="1" outlineLevel="1" x14ac:dyDescent="0.35">
      <c r="A778" s="483"/>
      <c r="B778" s="762" t="s">
        <v>2002</v>
      </c>
      <c r="C778" s="664" t="s">
        <v>246</v>
      </c>
      <c r="D778" s="664"/>
      <c r="E778" s="664"/>
      <c r="F778" s="665"/>
      <c r="G778" s="664"/>
      <c r="H778" s="664"/>
      <c r="I778" s="664"/>
      <c r="J778" s="727"/>
      <c r="K778" s="664"/>
      <c r="L778" s="666"/>
    </row>
    <row r="779" spans="1:12" hidden="1" outlineLevel="1" x14ac:dyDescent="0.35">
      <c r="A779" s="483"/>
      <c r="B779" s="762" t="s">
        <v>2002</v>
      </c>
      <c r="C779" s="664" t="s">
        <v>247</v>
      </c>
      <c r="D779" s="664"/>
      <c r="E779" s="664"/>
      <c r="F779" s="665"/>
      <c r="G779" s="664"/>
      <c r="H779" s="664"/>
      <c r="I779" s="664"/>
      <c r="J779" s="727"/>
      <c r="K779" s="664"/>
      <c r="L779" s="666"/>
    </row>
    <row r="780" spans="1:12" hidden="1" outlineLevel="1" x14ac:dyDescent="0.35">
      <c r="A780" s="483"/>
      <c r="B780" s="762" t="s">
        <v>2002</v>
      </c>
      <c r="C780" s="664" t="s">
        <v>248</v>
      </c>
      <c r="D780" s="664"/>
      <c r="E780" s="664"/>
      <c r="F780" s="665"/>
      <c r="G780" s="664"/>
      <c r="H780" s="664"/>
      <c r="I780" s="664"/>
      <c r="J780" s="727"/>
      <c r="K780" s="664"/>
      <c r="L780" s="666"/>
    </row>
    <row r="781" spans="1:12" hidden="1" outlineLevel="1" x14ac:dyDescent="0.35">
      <c r="A781" s="483"/>
      <c r="B781" s="762" t="s">
        <v>2002</v>
      </c>
      <c r="C781" s="664" t="s">
        <v>249</v>
      </c>
      <c r="D781" s="664"/>
      <c r="E781" s="664"/>
      <c r="F781" s="665"/>
      <c r="G781" s="664"/>
      <c r="H781" s="664"/>
      <c r="I781" s="664"/>
      <c r="J781" s="727"/>
      <c r="K781" s="664"/>
      <c r="L781" s="666"/>
    </row>
    <row r="782" spans="1:12" hidden="1" outlineLevel="1" x14ac:dyDescent="0.35">
      <c r="A782" s="483"/>
      <c r="B782" s="762" t="s">
        <v>2002</v>
      </c>
      <c r="C782" s="664" t="s">
        <v>250</v>
      </c>
      <c r="D782" s="664"/>
      <c r="E782" s="664"/>
      <c r="F782" s="665"/>
      <c r="G782" s="664"/>
      <c r="H782" s="664"/>
      <c r="I782" s="664"/>
      <c r="J782" s="727"/>
      <c r="K782" s="664"/>
      <c r="L782" s="666"/>
    </row>
    <row r="783" spans="1:12" hidden="1" outlineLevel="1" x14ac:dyDescent="0.35">
      <c r="A783" s="483"/>
      <c r="B783" s="762" t="s">
        <v>2002</v>
      </c>
      <c r="C783" s="664" t="s">
        <v>251</v>
      </c>
      <c r="D783" s="664"/>
      <c r="E783" s="664"/>
      <c r="F783" s="665"/>
      <c r="G783" s="664"/>
      <c r="H783" s="664"/>
      <c r="I783" s="664"/>
      <c r="J783" s="727"/>
      <c r="K783" s="664"/>
      <c r="L783" s="666"/>
    </row>
    <row r="784" spans="1:12" hidden="1" outlineLevel="1" x14ac:dyDescent="0.35">
      <c r="A784" s="483"/>
      <c r="B784" s="762" t="s">
        <v>2002</v>
      </c>
      <c r="C784" s="664" t="s">
        <v>252</v>
      </c>
      <c r="D784" s="664"/>
      <c r="E784" s="664"/>
      <c r="F784" s="665"/>
      <c r="G784" s="664"/>
      <c r="H784" s="664"/>
      <c r="I784" s="664"/>
      <c r="J784" s="727"/>
      <c r="K784" s="664"/>
      <c r="L784" s="666"/>
    </row>
    <row r="785" spans="1:12" hidden="1" outlineLevel="1" x14ac:dyDescent="0.35">
      <c r="A785" s="483"/>
      <c r="B785" s="762" t="s">
        <v>2002</v>
      </c>
      <c r="C785" s="664" t="s">
        <v>253</v>
      </c>
      <c r="D785" s="664"/>
      <c r="E785" s="664"/>
      <c r="F785" s="665"/>
      <c r="G785" s="664"/>
      <c r="H785" s="664"/>
      <c r="I785" s="664"/>
      <c r="J785" s="727"/>
      <c r="K785" s="664"/>
      <c r="L785" s="666"/>
    </row>
    <row r="786" spans="1:12" hidden="1" outlineLevel="1" x14ac:dyDescent="0.35">
      <c r="A786" s="483"/>
      <c r="B786" s="762" t="s">
        <v>2002</v>
      </c>
      <c r="C786" s="664" t="s">
        <v>254</v>
      </c>
      <c r="D786" s="664"/>
      <c r="E786" s="664"/>
      <c r="F786" s="665"/>
      <c r="G786" s="664"/>
      <c r="H786" s="664"/>
      <c r="I786" s="664"/>
      <c r="J786" s="727"/>
      <c r="K786" s="664"/>
      <c r="L786" s="666"/>
    </row>
    <row r="787" spans="1:12" hidden="1" outlineLevel="1" x14ac:dyDescent="0.35">
      <c r="A787" s="483"/>
      <c r="B787" s="762" t="s">
        <v>2002</v>
      </c>
      <c r="C787" s="664" t="s">
        <v>255</v>
      </c>
      <c r="D787" s="664"/>
      <c r="E787" s="664"/>
      <c r="F787" s="665"/>
      <c r="G787" s="664"/>
      <c r="H787" s="664"/>
      <c r="I787" s="664"/>
      <c r="J787" s="727"/>
      <c r="K787" s="664"/>
      <c r="L787" s="666"/>
    </row>
    <row r="788" spans="1:12" hidden="1" outlineLevel="1" x14ac:dyDescent="0.35">
      <c r="A788" s="483"/>
      <c r="B788" s="762" t="s">
        <v>2002</v>
      </c>
      <c r="C788" s="664" t="s">
        <v>256</v>
      </c>
      <c r="D788" s="664"/>
      <c r="E788" s="664"/>
      <c r="F788" s="665"/>
      <c r="G788" s="664"/>
      <c r="H788" s="664"/>
      <c r="I788" s="664"/>
      <c r="J788" s="727"/>
      <c r="K788" s="664"/>
      <c r="L788" s="666"/>
    </row>
    <row r="789" spans="1:12" hidden="1" outlineLevel="1" x14ac:dyDescent="0.35">
      <c r="A789" s="483"/>
      <c r="B789" s="762" t="s">
        <v>2002</v>
      </c>
      <c r="C789" s="664" t="s">
        <v>257</v>
      </c>
      <c r="D789" s="664"/>
      <c r="E789" s="664"/>
      <c r="F789" s="665"/>
      <c r="G789" s="664"/>
      <c r="H789" s="664"/>
      <c r="I789" s="664"/>
      <c r="J789" s="727"/>
      <c r="K789" s="664"/>
      <c r="L789" s="666"/>
    </row>
    <row r="790" spans="1:12" hidden="1" outlineLevel="1" x14ac:dyDescent="0.35">
      <c r="A790" s="483"/>
      <c r="B790" s="762" t="s">
        <v>2002</v>
      </c>
      <c r="C790" s="664" t="s">
        <v>258</v>
      </c>
      <c r="D790" s="664"/>
      <c r="E790" s="664"/>
      <c r="F790" s="665"/>
      <c r="G790" s="664"/>
      <c r="H790" s="664"/>
      <c r="I790" s="664"/>
      <c r="J790" s="727"/>
      <c r="K790" s="664"/>
      <c r="L790" s="666"/>
    </row>
    <row r="791" spans="1:12" hidden="1" outlineLevel="1" x14ac:dyDescent="0.35">
      <c r="A791" s="483"/>
      <c r="B791" s="762" t="s">
        <v>2002</v>
      </c>
      <c r="C791" s="664" t="s">
        <v>259</v>
      </c>
      <c r="D791" s="664"/>
      <c r="E791" s="664"/>
      <c r="F791" s="665"/>
      <c r="G791" s="664"/>
      <c r="H791" s="664"/>
      <c r="I791" s="664"/>
      <c r="J791" s="727"/>
      <c r="K791" s="664"/>
      <c r="L791" s="666"/>
    </row>
    <row r="792" spans="1:12" hidden="1" outlineLevel="1" x14ac:dyDescent="0.35">
      <c r="A792" s="483"/>
      <c r="B792" s="762" t="s">
        <v>2002</v>
      </c>
      <c r="C792" s="664" t="s">
        <v>260</v>
      </c>
      <c r="D792" s="664"/>
      <c r="E792" s="664"/>
      <c r="F792" s="665"/>
      <c r="G792" s="664"/>
      <c r="H792" s="664"/>
      <c r="I792" s="664"/>
      <c r="J792" s="727"/>
      <c r="K792" s="664"/>
      <c r="L792" s="666"/>
    </row>
    <row r="793" spans="1:12" hidden="1" outlineLevel="1" x14ac:dyDescent="0.35">
      <c r="A793" s="483"/>
      <c r="B793" s="762" t="s">
        <v>2002</v>
      </c>
      <c r="C793" s="664" t="s">
        <v>261</v>
      </c>
      <c r="D793" s="664"/>
      <c r="E793" s="664"/>
      <c r="F793" s="665"/>
      <c r="G793" s="664"/>
      <c r="H793" s="664"/>
      <c r="I793" s="664"/>
      <c r="J793" s="727"/>
      <c r="K793" s="664"/>
      <c r="L793" s="666"/>
    </row>
    <row r="794" spans="1:12" hidden="1" outlineLevel="1" x14ac:dyDescent="0.35">
      <c r="A794" s="483"/>
      <c r="B794" s="762" t="s">
        <v>2002</v>
      </c>
      <c r="C794" s="664" t="s">
        <v>262</v>
      </c>
      <c r="D794" s="664"/>
      <c r="E794" s="664"/>
      <c r="F794" s="665"/>
      <c r="G794" s="664"/>
      <c r="H794" s="664"/>
      <c r="I794" s="664"/>
      <c r="J794" s="727"/>
      <c r="K794" s="664"/>
      <c r="L794" s="666"/>
    </row>
    <row r="795" spans="1:12" hidden="1" outlineLevel="1" x14ac:dyDescent="0.35">
      <c r="A795" s="483"/>
      <c r="B795" s="762" t="s">
        <v>2002</v>
      </c>
      <c r="C795" s="664" t="s">
        <v>263</v>
      </c>
      <c r="D795" s="664"/>
      <c r="E795" s="664"/>
      <c r="F795" s="665"/>
      <c r="G795" s="664"/>
      <c r="H795" s="664"/>
      <c r="I795" s="664"/>
      <c r="J795" s="727"/>
      <c r="K795" s="664"/>
      <c r="L795" s="666"/>
    </row>
    <row r="796" spans="1:12" hidden="1" outlineLevel="1" x14ac:dyDescent="0.35">
      <c r="A796" s="483"/>
      <c r="B796" s="762" t="s">
        <v>2002</v>
      </c>
      <c r="C796" s="664" t="s">
        <v>264</v>
      </c>
      <c r="D796" s="664"/>
      <c r="E796" s="664"/>
      <c r="F796" s="665"/>
      <c r="G796" s="664"/>
      <c r="H796" s="664"/>
      <c r="I796" s="664"/>
      <c r="J796" s="727"/>
      <c r="K796" s="664"/>
      <c r="L796" s="666"/>
    </row>
    <row r="797" spans="1:12" hidden="1" outlineLevel="1" x14ac:dyDescent="0.35">
      <c r="A797" s="483"/>
      <c r="B797" s="762" t="s">
        <v>2002</v>
      </c>
      <c r="C797" s="664" t="s">
        <v>265</v>
      </c>
      <c r="D797" s="664"/>
      <c r="E797" s="664"/>
      <c r="F797" s="665"/>
      <c r="G797" s="664"/>
      <c r="H797" s="664"/>
      <c r="I797" s="664"/>
      <c r="J797" s="727"/>
      <c r="K797" s="664"/>
      <c r="L797" s="666"/>
    </row>
    <row r="798" spans="1:12" hidden="1" outlineLevel="1" x14ac:dyDescent="0.35">
      <c r="A798" s="483"/>
      <c r="B798" s="762" t="s">
        <v>2002</v>
      </c>
      <c r="C798" s="664" t="s">
        <v>266</v>
      </c>
      <c r="D798" s="664"/>
      <c r="E798" s="664"/>
      <c r="F798" s="665"/>
      <c r="G798" s="664"/>
      <c r="H798" s="664"/>
      <c r="I798" s="664"/>
      <c r="J798" s="727"/>
      <c r="K798" s="664"/>
      <c r="L798" s="666"/>
    </row>
    <row r="799" spans="1:12" hidden="1" outlineLevel="1" x14ac:dyDescent="0.35">
      <c r="A799" s="483"/>
      <c r="B799" s="762" t="s">
        <v>2002</v>
      </c>
      <c r="C799" s="664" t="s">
        <v>267</v>
      </c>
      <c r="D799" s="664"/>
      <c r="E799" s="664"/>
      <c r="F799" s="665"/>
      <c r="G799" s="664"/>
      <c r="H799" s="664"/>
      <c r="I799" s="664"/>
      <c r="J799" s="727"/>
      <c r="K799" s="664"/>
      <c r="L799" s="666"/>
    </row>
    <row r="800" spans="1:12" hidden="1" outlineLevel="1" x14ac:dyDescent="0.35">
      <c r="A800" s="483"/>
      <c r="B800" s="762" t="s">
        <v>2002</v>
      </c>
      <c r="C800" s="664" t="s">
        <v>268</v>
      </c>
      <c r="D800" s="664"/>
      <c r="E800" s="664"/>
      <c r="F800" s="665"/>
      <c r="G800" s="664"/>
      <c r="H800" s="664"/>
      <c r="I800" s="664"/>
      <c r="J800" s="727"/>
      <c r="K800" s="664"/>
      <c r="L800" s="666"/>
    </row>
    <row r="801" spans="1:12" hidden="1" outlineLevel="1" x14ac:dyDescent="0.35">
      <c r="A801" s="483"/>
      <c r="B801" s="762" t="s">
        <v>2002</v>
      </c>
      <c r="C801" s="664" t="s">
        <v>269</v>
      </c>
      <c r="D801" s="664"/>
      <c r="E801" s="664"/>
      <c r="F801" s="665"/>
      <c r="G801" s="664"/>
      <c r="H801" s="664"/>
      <c r="I801" s="664"/>
      <c r="J801" s="727"/>
      <c r="K801" s="664"/>
      <c r="L801" s="666"/>
    </row>
    <row r="802" spans="1:12" hidden="1" outlineLevel="1" x14ac:dyDescent="0.35">
      <c r="A802" s="483"/>
      <c r="B802" s="762" t="s">
        <v>2002</v>
      </c>
      <c r="C802" s="664" t="s">
        <v>270</v>
      </c>
      <c r="D802" s="664"/>
      <c r="E802" s="664"/>
      <c r="F802" s="665"/>
      <c r="G802" s="664"/>
      <c r="H802" s="664"/>
      <c r="I802" s="664"/>
      <c r="J802" s="727"/>
      <c r="K802" s="664"/>
      <c r="L802" s="666"/>
    </row>
    <row r="803" spans="1:12" hidden="1" outlineLevel="1" x14ac:dyDescent="0.35">
      <c r="A803" s="483"/>
      <c r="B803" s="762" t="s">
        <v>2002</v>
      </c>
      <c r="C803" s="664" t="s">
        <v>271</v>
      </c>
      <c r="D803" s="664"/>
      <c r="E803" s="664"/>
      <c r="F803" s="665"/>
      <c r="G803" s="664"/>
      <c r="H803" s="664"/>
      <c r="I803" s="664"/>
      <c r="J803" s="727"/>
      <c r="K803" s="664"/>
      <c r="L803" s="666"/>
    </row>
    <row r="804" spans="1:12" hidden="1" outlineLevel="1" x14ac:dyDescent="0.35">
      <c r="A804" s="483"/>
      <c r="B804" s="762" t="s">
        <v>2002</v>
      </c>
      <c r="C804" s="664" t="s">
        <v>272</v>
      </c>
      <c r="D804" s="664"/>
      <c r="E804" s="664"/>
      <c r="F804" s="665"/>
      <c r="G804" s="664"/>
      <c r="H804" s="664"/>
      <c r="I804" s="664"/>
      <c r="J804" s="727"/>
      <c r="K804" s="664"/>
      <c r="L804" s="666"/>
    </row>
    <row r="805" spans="1:12" hidden="1" outlineLevel="1" x14ac:dyDescent="0.35">
      <c r="A805" s="483"/>
      <c r="B805" s="762" t="s">
        <v>2002</v>
      </c>
      <c r="C805" s="664" t="s">
        <v>273</v>
      </c>
      <c r="D805" s="664"/>
      <c r="E805" s="664"/>
      <c r="F805" s="665"/>
      <c r="G805" s="664"/>
      <c r="H805" s="664"/>
      <c r="I805" s="664"/>
      <c r="J805" s="727"/>
      <c r="K805" s="664"/>
      <c r="L805" s="666"/>
    </row>
    <row r="806" spans="1:12" hidden="1" outlineLevel="1" x14ac:dyDescent="0.35">
      <c r="A806" s="483"/>
      <c r="B806" s="762" t="s">
        <v>2002</v>
      </c>
      <c r="C806" s="664" t="s">
        <v>274</v>
      </c>
      <c r="D806" s="664"/>
      <c r="E806" s="664"/>
      <c r="F806" s="665"/>
      <c r="G806" s="664"/>
      <c r="H806" s="664"/>
      <c r="I806" s="664"/>
      <c r="J806" s="727"/>
      <c r="K806" s="664"/>
      <c r="L806" s="666"/>
    </row>
    <row r="807" spans="1:12" hidden="1" outlineLevel="1" x14ac:dyDescent="0.35">
      <c r="A807" s="483"/>
      <c r="B807" s="762" t="s">
        <v>2002</v>
      </c>
      <c r="C807" s="664" t="s">
        <v>275</v>
      </c>
      <c r="D807" s="664"/>
      <c r="E807" s="664"/>
      <c r="F807" s="665"/>
      <c r="G807" s="664"/>
      <c r="H807" s="664"/>
      <c r="I807" s="664"/>
      <c r="J807" s="727"/>
      <c r="K807" s="664"/>
      <c r="L807" s="666"/>
    </row>
    <row r="808" spans="1:12" hidden="1" outlineLevel="1" x14ac:dyDescent="0.35">
      <c r="A808" s="483"/>
      <c r="B808" s="762" t="s">
        <v>2002</v>
      </c>
      <c r="C808" s="664" t="s">
        <v>276</v>
      </c>
      <c r="D808" s="664"/>
      <c r="E808" s="664"/>
      <c r="F808" s="665"/>
      <c r="G808" s="664"/>
      <c r="H808" s="664"/>
      <c r="I808" s="664"/>
      <c r="J808" s="727"/>
      <c r="K808" s="664"/>
      <c r="L808" s="666"/>
    </row>
    <row r="809" spans="1:12" hidden="1" outlineLevel="1" x14ac:dyDescent="0.35">
      <c r="A809" s="483"/>
      <c r="B809" s="762" t="s">
        <v>2002</v>
      </c>
      <c r="C809" s="664" t="s">
        <v>277</v>
      </c>
      <c r="D809" s="664"/>
      <c r="E809" s="664"/>
      <c r="F809" s="665"/>
      <c r="G809" s="664"/>
      <c r="H809" s="664"/>
      <c r="I809" s="664"/>
      <c r="J809" s="727"/>
      <c r="K809" s="664"/>
      <c r="L809" s="666"/>
    </row>
    <row r="810" spans="1:12" hidden="1" outlineLevel="1" x14ac:dyDescent="0.35">
      <c r="A810" s="483"/>
      <c r="B810" s="762" t="s">
        <v>2002</v>
      </c>
      <c r="C810" s="664" t="s">
        <v>278</v>
      </c>
      <c r="D810" s="664"/>
      <c r="E810" s="664"/>
      <c r="F810" s="665"/>
      <c r="G810" s="664"/>
      <c r="H810" s="664"/>
      <c r="I810" s="664"/>
      <c r="J810" s="727"/>
      <c r="K810" s="664"/>
      <c r="L810" s="666"/>
    </row>
    <row r="811" spans="1:12" hidden="1" outlineLevel="1" x14ac:dyDescent="0.35">
      <c r="A811" s="483"/>
      <c r="B811" s="762" t="s">
        <v>2002</v>
      </c>
      <c r="C811" s="664" t="s">
        <v>279</v>
      </c>
      <c r="D811" s="664"/>
      <c r="E811" s="664"/>
      <c r="F811" s="665"/>
      <c r="G811" s="664"/>
      <c r="H811" s="664"/>
      <c r="I811" s="664"/>
      <c r="J811" s="727"/>
      <c r="K811" s="664"/>
      <c r="L811" s="666"/>
    </row>
    <row r="812" spans="1:12" hidden="1" outlineLevel="1" x14ac:dyDescent="0.35">
      <c r="A812" s="483"/>
      <c r="B812" s="762" t="s">
        <v>2002</v>
      </c>
      <c r="C812" s="664" t="s">
        <v>280</v>
      </c>
      <c r="D812" s="664"/>
      <c r="E812" s="664"/>
      <c r="F812" s="665"/>
      <c r="G812" s="664"/>
      <c r="H812" s="664"/>
      <c r="I812" s="664"/>
      <c r="J812" s="727"/>
      <c r="K812" s="664"/>
      <c r="L812" s="666"/>
    </row>
    <row r="813" spans="1:12" hidden="1" outlineLevel="1" x14ac:dyDescent="0.35">
      <c r="A813" s="483"/>
      <c r="B813" s="762" t="s">
        <v>2002</v>
      </c>
      <c r="C813" s="664" t="s">
        <v>281</v>
      </c>
      <c r="D813" s="664"/>
      <c r="E813" s="664"/>
      <c r="F813" s="665"/>
      <c r="G813" s="664"/>
      <c r="H813" s="664"/>
      <c r="I813" s="664"/>
      <c r="J813" s="727"/>
      <c r="K813" s="664"/>
      <c r="L813" s="666"/>
    </row>
    <row r="814" spans="1:12" hidden="1" outlineLevel="1" x14ac:dyDescent="0.35">
      <c r="A814" s="483"/>
      <c r="B814" s="762" t="s">
        <v>2002</v>
      </c>
      <c r="C814" s="664" t="s">
        <v>282</v>
      </c>
      <c r="D814" s="664"/>
      <c r="E814" s="664"/>
      <c r="F814" s="665"/>
      <c r="G814" s="664"/>
      <c r="H814" s="664"/>
      <c r="I814" s="664"/>
      <c r="J814" s="727"/>
      <c r="K814" s="664"/>
      <c r="L814" s="666"/>
    </row>
    <row r="815" spans="1:12" hidden="1" outlineLevel="1" x14ac:dyDescent="0.35">
      <c r="A815" s="483"/>
      <c r="B815" s="762" t="s">
        <v>2002</v>
      </c>
      <c r="C815" s="664" t="s">
        <v>283</v>
      </c>
      <c r="D815" s="664"/>
      <c r="E815" s="664"/>
      <c r="F815" s="665"/>
      <c r="G815" s="664"/>
      <c r="H815" s="664"/>
      <c r="I815" s="664"/>
      <c r="J815" s="727"/>
      <c r="K815" s="664"/>
      <c r="L815" s="666"/>
    </row>
    <row r="816" spans="1:12" hidden="1" outlineLevel="1" x14ac:dyDescent="0.35">
      <c r="A816" s="483"/>
      <c r="B816" s="762" t="s">
        <v>2002</v>
      </c>
      <c r="C816" s="664" t="s">
        <v>284</v>
      </c>
      <c r="D816" s="664"/>
      <c r="E816" s="664"/>
      <c r="F816" s="665"/>
      <c r="G816" s="664"/>
      <c r="H816" s="664"/>
      <c r="I816" s="664"/>
      <c r="J816" s="727"/>
      <c r="K816" s="664"/>
      <c r="L816" s="666"/>
    </row>
    <row r="817" spans="1:12" hidden="1" outlineLevel="1" x14ac:dyDescent="0.35">
      <c r="A817" s="483"/>
      <c r="B817" s="762" t="s">
        <v>2002</v>
      </c>
      <c r="C817" s="664" t="s">
        <v>285</v>
      </c>
      <c r="D817" s="664"/>
      <c r="E817" s="664"/>
      <c r="F817" s="665"/>
      <c r="G817" s="664"/>
      <c r="H817" s="664"/>
      <c r="I817" s="664"/>
      <c r="J817" s="727"/>
      <c r="K817" s="664"/>
      <c r="L817" s="666"/>
    </row>
    <row r="818" spans="1:12" hidden="1" outlineLevel="1" x14ac:dyDescent="0.35">
      <c r="A818" s="483"/>
      <c r="B818" s="762" t="s">
        <v>2002</v>
      </c>
      <c r="C818" s="664" t="s">
        <v>286</v>
      </c>
      <c r="D818" s="664"/>
      <c r="E818" s="664"/>
      <c r="F818" s="665"/>
      <c r="G818" s="664"/>
      <c r="H818" s="664"/>
      <c r="I818" s="664"/>
      <c r="J818" s="727"/>
      <c r="K818" s="664"/>
      <c r="L818" s="666"/>
    </row>
    <row r="819" spans="1:12" hidden="1" outlineLevel="1" x14ac:dyDescent="0.35">
      <c r="A819" s="483"/>
      <c r="B819" s="762" t="s">
        <v>2002</v>
      </c>
      <c r="C819" s="664" t="s">
        <v>287</v>
      </c>
      <c r="D819" s="664"/>
      <c r="E819" s="664"/>
      <c r="F819" s="665"/>
      <c r="G819" s="664"/>
      <c r="H819" s="664"/>
      <c r="I819" s="664"/>
      <c r="J819" s="727"/>
      <c r="K819" s="664"/>
      <c r="L819" s="666"/>
    </row>
    <row r="820" spans="1:12" hidden="1" outlineLevel="1" x14ac:dyDescent="0.35">
      <c r="A820" s="483"/>
      <c r="B820" s="762" t="s">
        <v>2002</v>
      </c>
      <c r="C820" s="664" t="s">
        <v>288</v>
      </c>
      <c r="D820" s="664"/>
      <c r="E820" s="664"/>
      <c r="F820" s="665"/>
      <c r="G820" s="664"/>
      <c r="H820" s="664"/>
      <c r="I820" s="664"/>
      <c r="J820" s="727"/>
      <c r="K820" s="664"/>
      <c r="L820" s="666"/>
    </row>
    <row r="821" spans="1:12" hidden="1" outlineLevel="1" x14ac:dyDescent="0.35">
      <c r="A821" s="483"/>
      <c r="B821" s="762" t="s">
        <v>2002</v>
      </c>
      <c r="C821" s="664" t="s">
        <v>289</v>
      </c>
      <c r="D821" s="664"/>
      <c r="E821" s="664"/>
      <c r="F821" s="665"/>
      <c r="G821" s="664"/>
      <c r="H821" s="664"/>
      <c r="I821" s="664"/>
      <c r="J821" s="727"/>
      <c r="K821" s="664"/>
      <c r="L821" s="666"/>
    </row>
    <row r="822" spans="1:12" hidden="1" outlineLevel="1" x14ac:dyDescent="0.35">
      <c r="A822" s="483"/>
      <c r="B822" s="762" t="s">
        <v>2002</v>
      </c>
      <c r="C822" s="664" t="s">
        <v>290</v>
      </c>
      <c r="D822" s="664"/>
      <c r="E822" s="664"/>
      <c r="F822" s="665"/>
      <c r="G822" s="664"/>
      <c r="H822" s="664"/>
      <c r="I822" s="664"/>
      <c r="J822" s="727"/>
      <c r="K822" s="664"/>
      <c r="L822" s="666"/>
    </row>
    <row r="823" spans="1:12" hidden="1" outlineLevel="1" x14ac:dyDescent="0.35">
      <c r="A823" s="483"/>
      <c r="B823" s="762" t="s">
        <v>2002</v>
      </c>
      <c r="C823" s="664" t="s">
        <v>291</v>
      </c>
      <c r="D823" s="664"/>
      <c r="E823" s="664"/>
      <c r="F823" s="665"/>
      <c r="G823" s="664"/>
      <c r="H823" s="664"/>
      <c r="I823" s="664"/>
      <c r="J823" s="727"/>
      <c r="K823" s="664"/>
      <c r="L823" s="666"/>
    </row>
    <row r="824" spans="1:12" hidden="1" outlineLevel="1" x14ac:dyDescent="0.35">
      <c r="A824" s="483"/>
      <c r="B824" s="762" t="s">
        <v>2002</v>
      </c>
      <c r="C824" s="664" t="s">
        <v>292</v>
      </c>
      <c r="D824" s="664"/>
      <c r="E824" s="664"/>
      <c r="F824" s="665"/>
      <c r="G824" s="664"/>
      <c r="H824" s="664"/>
      <c r="I824" s="664"/>
      <c r="J824" s="727"/>
      <c r="K824" s="664"/>
      <c r="L824" s="666"/>
    </row>
    <row r="825" spans="1:12" hidden="1" outlineLevel="1" x14ac:dyDescent="0.35">
      <c r="A825" s="483"/>
      <c r="B825" s="762" t="s">
        <v>2002</v>
      </c>
      <c r="C825" s="664" t="s">
        <v>293</v>
      </c>
      <c r="D825" s="664"/>
      <c r="E825" s="664"/>
      <c r="F825" s="665"/>
      <c r="G825" s="664"/>
      <c r="H825" s="664"/>
      <c r="I825" s="664"/>
      <c r="J825" s="727"/>
      <c r="K825" s="664"/>
      <c r="L825" s="666"/>
    </row>
    <row r="826" spans="1:12" hidden="1" outlineLevel="1" x14ac:dyDescent="0.35">
      <c r="A826" s="483"/>
      <c r="B826" s="762" t="s">
        <v>2002</v>
      </c>
      <c r="C826" s="664" t="s">
        <v>294</v>
      </c>
      <c r="D826" s="664"/>
      <c r="E826" s="664"/>
      <c r="F826" s="665"/>
      <c r="G826" s="664"/>
      <c r="H826" s="664"/>
      <c r="I826" s="664"/>
      <c r="J826" s="727"/>
      <c r="K826" s="664"/>
      <c r="L826" s="666"/>
    </row>
    <row r="827" spans="1:12" hidden="1" outlineLevel="1" x14ac:dyDescent="0.35">
      <c r="A827" s="483"/>
      <c r="B827" s="762" t="s">
        <v>2002</v>
      </c>
      <c r="C827" s="664" t="s">
        <v>295</v>
      </c>
      <c r="D827" s="664"/>
      <c r="E827" s="664"/>
      <c r="F827" s="665"/>
      <c r="G827" s="664"/>
      <c r="H827" s="664"/>
      <c r="I827" s="664"/>
      <c r="J827" s="727"/>
      <c r="K827" s="664"/>
      <c r="L827" s="666"/>
    </row>
    <row r="828" spans="1:12" hidden="1" outlineLevel="1" x14ac:dyDescent="0.35">
      <c r="A828" s="483"/>
      <c r="B828" s="762" t="s">
        <v>2002</v>
      </c>
      <c r="C828" s="664" t="s">
        <v>296</v>
      </c>
      <c r="D828" s="664"/>
      <c r="E828" s="664"/>
      <c r="F828" s="665"/>
      <c r="G828" s="664"/>
      <c r="H828" s="664"/>
      <c r="I828" s="664"/>
      <c r="J828" s="727"/>
      <c r="K828" s="664"/>
      <c r="L828" s="666"/>
    </row>
    <row r="829" spans="1:12" hidden="1" outlineLevel="1" x14ac:dyDescent="0.35">
      <c r="A829" s="483"/>
      <c r="B829" s="762" t="s">
        <v>2002</v>
      </c>
      <c r="C829" s="664" t="s">
        <v>297</v>
      </c>
      <c r="D829" s="664"/>
      <c r="E829" s="664"/>
      <c r="F829" s="665"/>
      <c r="G829" s="664"/>
      <c r="H829" s="664"/>
      <c r="I829" s="664"/>
      <c r="J829" s="727"/>
      <c r="K829" s="664"/>
      <c r="L829" s="666"/>
    </row>
    <row r="830" spans="1:12" hidden="1" outlineLevel="1" x14ac:dyDescent="0.35">
      <c r="A830" s="483"/>
      <c r="B830" s="762" t="s">
        <v>2002</v>
      </c>
      <c r="C830" s="664" t="s">
        <v>298</v>
      </c>
      <c r="D830" s="664"/>
      <c r="E830" s="664"/>
      <c r="F830" s="665"/>
      <c r="G830" s="664"/>
      <c r="H830" s="664"/>
      <c r="I830" s="664"/>
      <c r="J830" s="727"/>
      <c r="K830" s="664"/>
      <c r="L830" s="666"/>
    </row>
    <row r="831" spans="1:12" hidden="1" outlineLevel="1" x14ac:dyDescent="0.35">
      <c r="A831" s="483"/>
      <c r="B831" s="762" t="s">
        <v>2002</v>
      </c>
      <c r="C831" s="664" t="s">
        <v>299</v>
      </c>
      <c r="D831" s="664"/>
      <c r="E831" s="664"/>
      <c r="F831" s="665"/>
      <c r="G831" s="664"/>
      <c r="H831" s="664"/>
      <c r="I831" s="664"/>
      <c r="J831" s="727"/>
      <c r="K831" s="664"/>
      <c r="L831" s="666"/>
    </row>
    <row r="832" spans="1:12" hidden="1" outlineLevel="1" x14ac:dyDescent="0.35">
      <c r="A832" s="483"/>
      <c r="B832" s="762" t="s">
        <v>2002</v>
      </c>
      <c r="C832" s="664" t="s">
        <v>300</v>
      </c>
      <c r="D832" s="664"/>
      <c r="E832" s="664"/>
      <c r="F832" s="665"/>
      <c r="G832" s="664"/>
      <c r="H832" s="664"/>
      <c r="I832" s="664"/>
      <c r="J832" s="727"/>
      <c r="K832" s="664"/>
      <c r="L832" s="666"/>
    </row>
    <row r="833" spans="1:12" hidden="1" outlineLevel="1" x14ac:dyDescent="0.35">
      <c r="A833" s="483"/>
      <c r="B833" s="762" t="s">
        <v>2002</v>
      </c>
      <c r="C833" s="664" t="s">
        <v>301</v>
      </c>
      <c r="D833" s="664"/>
      <c r="E833" s="664"/>
      <c r="F833" s="665"/>
      <c r="G833" s="664"/>
      <c r="H833" s="664"/>
      <c r="I833" s="664"/>
      <c r="J833" s="727"/>
      <c r="K833" s="664"/>
      <c r="L833" s="666"/>
    </row>
    <row r="834" spans="1:12" hidden="1" outlineLevel="1" x14ac:dyDescent="0.35">
      <c r="A834" s="483"/>
      <c r="B834" s="762" t="s">
        <v>2002</v>
      </c>
      <c r="C834" s="664" t="s">
        <v>302</v>
      </c>
      <c r="D834" s="664"/>
      <c r="E834" s="664"/>
      <c r="F834" s="665"/>
      <c r="G834" s="664"/>
      <c r="H834" s="664"/>
      <c r="I834" s="664"/>
      <c r="J834" s="727"/>
      <c r="K834" s="664"/>
      <c r="L834" s="666"/>
    </row>
    <row r="835" spans="1:12" hidden="1" outlineLevel="1" x14ac:dyDescent="0.35">
      <c r="A835" s="483"/>
      <c r="B835" s="762" t="s">
        <v>2002</v>
      </c>
      <c r="C835" s="664" t="s">
        <v>303</v>
      </c>
      <c r="D835" s="664"/>
      <c r="E835" s="664"/>
      <c r="F835" s="665"/>
      <c r="G835" s="664"/>
      <c r="H835" s="664"/>
      <c r="I835" s="664"/>
      <c r="J835" s="727"/>
      <c r="K835" s="664"/>
      <c r="L835" s="666"/>
    </row>
    <row r="836" spans="1:12" hidden="1" outlineLevel="1" x14ac:dyDescent="0.35">
      <c r="A836" s="483"/>
      <c r="B836" s="762" t="s">
        <v>2002</v>
      </c>
      <c r="C836" s="664" t="s">
        <v>304</v>
      </c>
      <c r="D836" s="664"/>
      <c r="E836" s="664"/>
      <c r="F836" s="665"/>
      <c r="G836" s="664"/>
      <c r="H836" s="664"/>
      <c r="I836" s="664"/>
      <c r="J836" s="727"/>
      <c r="K836" s="664"/>
      <c r="L836" s="666"/>
    </row>
    <row r="837" spans="1:12" hidden="1" outlineLevel="1" x14ac:dyDescent="0.35">
      <c r="A837" s="483"/>
      <c r="B837" s="762" t="s">
        <v>2002</v>
      </c>
      <c r="C837" s="664" t="s">
        <v>305</v>
      </c>
      <c r="D837" s="664"/>
      <c r="E837" s="664"/>
      <c r="F837" s="665"/>
      <c r="G837" s="664"/>
      <c r="H837" s="664"/>
      <c r="I837" s="664"/>
      <c r="J837" s="727"/>
      <c r="K837" s="664"/>
      <c r="L837" s="666"/>
    </row>
    <row r="838" spans="1:12" hidden="1" outlineLevel="1" x14ac:dyDescent="0.35">
      <c r="A838" s="483"/>
      <c r="B838" s="762" t="s">
        <v>2002</v>
      </c>
      <c r="C838" s="664" t="s">
        <v>306</v>
      </c>
      <c r="D838" s="664"/>
      <c r="E838" s="664"/>
      <c r="F838" s="665"/>
      <c r="G838" s="664"/>
      <c r="H838" s="664"/>
      <c r="I838" s="664"/>
      <c r="J838" s="727"/>
      <c r="K838" s="664"/>
      <c r="L838" s="666"/>
    </row>
    <row r="839" spans="1:12" hidden="1" outlineLevel="1" x14ac:dyDescent="0.35">
      <c r="A839" s="483"/>
      <c r="B839" s="762" t="s">
        <v>2002</v>
      </c>
      <c r="C839" s="664" t="s">
        <v>307</v>
      </c>
      <c r="D839" s="664"/>
      <c r="E839" s="664"/>
      <c r="F839" s="665"/>
      <c r="G839" s="664"/>
      <c r="H839" s="664"/>
      <c r="I839" s="664"/>
      <c r="J839" s="727"/>
      <c r="K839" s="664"/>
      <c r="L839" s="666"/>
    </row>
    <row r="840" spans="1:12" hidden="1" outlineLevel="1" x14ac:dyDescent="0.35">
      <c r="A840" s="483"/>
      <c r="B840" s="762" t="s">
        <v>2002</v>
      </c>
      <c r="C840" s="664" t="s">
        <v>308</v>
      </c>
      <c r="D840" s="664"/>
      <c r="E840" s="664"/>
      <c r="F840" s="665"/>
      <c r="G840" s="664"/>
      <c r="H840" s="664"/>
      <c r="I840" s="664"/>
      <c r="J840" s="727"/>
      <c r="K840" s="664"/>
      <c r="L840" s="666"/>
    </row>
    <row r="841" spans="1:12" hidden="1" outlineLevel="1" x14ac:dyDescent="0.35">
      <c r="A841" s="483"/>
      <c r="B841" s="762" t="s">
        <v>2002</v>
      </c>
      <c r="C841" s="664" t="s">
        <v>309</v>
      </c>
      <c r="D841" s="664"/>
      <c r="E841" s="664"/>
      <c r="F841" s="665"/>
      <c r="G841" s="664"/>
      <c r="H841" s="664"/>
      <c r="I841" s="664"/>
      <c r="J841" s="727"/>
      <c r="K841" s="664"/>
      <c r="L841" s="666"/>
    </row>
    <row r="842" spans="1:12" hidden="1" outlineLevel="1" x14ac:dyDescent="0.35">
      <c r="A842" s="483"/>
      <c r="B842" s="762" t="s">
        <v>2002</v>
      </c>
      <c r="C842" s="664" t="s">
        <v>310</v>
      </c>
      <c r="D842" s="664"/>
      <c r="E842" s="664"/>
      <c r="F842" s="665"/>
      <c r="G842" s="664"/>
      <c r="H842" s="664"/>
      <c r="I842" s="664"/>
      <c r="J842" s="727"/>
      <c r="K842" s="664"/>
      <c r="L842" s="666"/>
    </row>
    <row r="843" spans="1:12" hidden="1" outlineLevel="1" x14ac:dyDescent="0.35">
      <c r="A843" s="483"/>
      <c r="B843" s="762" t="s">
        <v>2002</v>
      </c>
      <c r="C843" s="664" t="s">
        <v>311</v>
      </c>
      <c r="D843" s="664"/>
      <c r="E843" s="664"/>
      <c r="F843" s="665"/>
      <c r="G843" s="664"/>
      <c r="H843" s="664"/>
      <c r="I843" s="664"/>
      <c r="J843" s="727"/>
      <c r="K843" s="664"/>
      <c r="L843" s="666"/>
    </row>
    <row r="844" spans="1:12" hidden="1" outlineLevel="1" x14ac:dyDescent="0.35">
      <c r="A844" s="483"/>
      <c r="B844" s="762" t="s">
        <v>2002</v>
      </c>
      <c r="C844" s="664" t="s">
        <v>312</v>
      </c>
      <c r="D844" s="664"/>
      <c r="E844" s="664"/>
      <c r="F844" s="665"/>
      <c r="G844" s="664"/>
      <c r="H844" s="664"/>
      <c r="I844" s="664"/>
      <c r="J844" s="727"/>
      <c r="K844" s="664"/>
      <c r="L844" s="666"/>
    </row>
    <row r="845" spans="1:12" hidden="1" outlineLevel="1" x14ac:dyDescent="0.35">
      <c r="A845" s="483"/>
      <c r="B845" s="762" t="s">
        <v>2002</v>
      </c>
      <c r="C845" s="664" t="s">
        <v>313</v>
      </c>
      <c r="D845" s="664"/>
      <c r="E845" s="664"/>
      <c r="F845" s="665"/>
      <c r="G845" s="664"/>
      <c r="H845" s="664"/>
      <c r="I845" s="664"/>
      <c r="J845" s="727"/>
      <c r="K845" s="664"/>
      <c r="L845" s="666"/>
    </row>
    <row r="846" spans="1:12" hidden="1" outlineLevel="1" x14ac:dyDescent="0.35">
      <c r="A846" s="483"/>
      <c r="B846" s="762" t="s">
        <v>2002</v>
      </c>
      <c r="C846" s="664" t="s">
        <v>314</v>
      </c>
      <c r="D846" s="664"/>
      <c r="E846" s="664"/>
      <c r="F846" s="665"/>
      <c r="G846" s="664"/>
      <c r="H846" s="664"/>
      <c r="I846" s="664"/>
      <c r="J846" s="727"/>
      <c r="K846" s="664"/>
      <c r="L846" s="666"/>
    </row>
    <row r="847" spans="1:12" hidden="1" outlineLevel="1" x14ac:dyDescent="0.35">
      <c r="A847" s="483"/>
      <c r="B847" s="762" t="s">
        <v>2002</v>
      </c>
      <c r="C847" s="664" t="s">
        <v>315</v>
      </c>
      <c r="D847" s="664"/>
      <c r="E847" s="664"/>
      <c r="F847" s="665"/>
      <c r="G847" s="664"/>
      <c r="H847" s="664"/>
      <c r="I847" s="664"/>
      <c r="J847" s="727"/>
      <c r="K847" s="664"/>
      <c r="L847" s="666"/>
    </row>
    <row r="848" spans="1:12" hidden="1" outlineLevel="1" x14ac:dyDescent="0.35">
      <c r="A848" s="483"/>
      <c r="B848" s="762" t="s">
        <v>2002</v>
      </c>
      <c r="C848" s="664" t="s">
        <v>316</v>
      </c>
      <c r="D848" s="664"/>
      <c r="E848" s="664"/>
      <c r="F848" s="665"/>
      <c r="G848" s="664"/>
      <c r="H848" s="664"/>
      <c r="I848" s="664"/>
      <c r="J848" s="727"/>
      <c r="K848" s="664"/>
      <c r="L848" s="666"/>
    </row>
    <row r="849" spans="1:12" hidden="1" outlineLevel="1" x14ac:dyDescent="0.35">
      <c r="A849" s="483"/>
      <c r="B849" s="762" t="s">
        <v>2002</v>
      </c>
      <c r="C849" s="664" t="s">
        <v>317</v>
      </c>
      <c r="D849" s="664"/>
      <c r="E849" s="664"/>
      <c r="F849" s="665"/>
      <c r="G849" s="664"/>
      <c r="H849" s="664"/>
      <c r="I849" s="664"/>
      <c r="J849" s="727"/>
      <c r="K849" s="664"/>
      <c r="L849" s="666"/>
    </row>
    <row r="850" spans="1:12" hidden="1" outlineLevel="1" x14ac:dyDescent="0.35">
      <c r="A850" s="483"/>
      <c r="B850" s="762" t="s">
        <v>2002</v>
      </c>
      <c r="C850" s="664" t="s">
        <v>318</v>
      </c>
      <c r="D850" s="664"/>
      <c r="E850" s="664"/>
      <c r="F850" s="665"/>
      <c r="G850" s="664"/>
      <c r="H850" s="664"/>
      <c r="I850" s="664"/>
      <c r="J850" s="727"/>
      <c r="K850" s="664"/>
      <c r="L850" s="666"/>
    </row>
    <row r="851" spans="1:12" hidden="1" outlineLevel="1" x14ac:dyDescent="0.35">
      <c r="A851" s="483"/>
      <c r="B851" s="762" t="s">
        <v>2002</v>
      </c>
      <c r="C851" s="664" t="s">
        <v>319</v>
      </c>
      <c r="D851" s="664"/>
      <c r="E851" s="664"/>
      <c r="F851" s="665"/>
      <c r="G851" s="664"/>
      <c r="H851" s="664"/>
      <c r="I851" s="664"/>
      <c r="J851" s="727"/>
      <c r="K851" s="664"/>
      <c r="L851" s="666"/>
    </row>
    <row r="852" spans="1:12" hidden="1" outlineLevel="1" x14ac:dyDescent="0.35">
      <c r="A852" s="483"/>
      <c r="B852" s="762" t="s">
        <v>2002</v>
      </c>
      <c r="C852" s="664" t="s">
        <v>320</v>
      </c>
      <c r="D852" s="664"/>
      <c r="E852" s="664"/>
      <c r="F852" s="665"/>
      <c r="G852" s="664"/>
      <c r="H852" s="664"/>
      <c r="I852" s="664"/>
      <c r="J852" s="727"/>
      <c r="K852" s="664"/>
      <c r="L852" s="666"/>
    </row>
    <row r="853" spans="1:12" hidden="1" outlineLevel="1" x14ac:dyDescent="0.35">
      <c r="A853" s="483"/>
      <c r="B853" s="762" t="s">
        <v>2002</v>
      </c>
      <c r="C853" s="664" t="s">
        <v>321</v>
      </c>
      <c r="D853" s="664"/>
      <c r="E853" s="664"/>
      <c r="F853" s="665"/>
      <c r="G853" s="664"/>
      <c r="H853" s="664"/>
      <c r="I853" s="664"/>
      <c r="J853" s="727"/>
      <c r="K853" s="664"/>
      <c r="L853" s="666"/>
    </row>
    <row r="854" spans="1:12" hidden="1" outlineLevel="1" x14ac:dyDescent="0.35">
      <c r="A854" s="483"/>
      <c r="B854" s="762" t="s">
        <v>2002</v>
      </c>
      <c r="C854" s="664" t="s">
        <v>322</v>
      </c>
      <c r="D854" s="664"/>
      <c r="E854" s="664"/>
      <c r="F854" s="665"/>
      <c r="G854" s="664"/>
      <c r="H854" s="664"/>
      <c r="I854" s="664"/>
      <c r="J854" s="727"/>
      <c r="K854" s="664"/>
      <c r="L854" s="666"/>
    </row>
    <row r="855" spans="1:12" hidden="1" outlineLevel="1" x14ac:dyDescent="0.35">
      <c r="A855" s="483"/>
      <c r="B855" s="762" t="s">
        <v>2002</v>
      </c>
      <c r="C855" s="664" t="s">
        <v>323</v>
      </c>
      <c r="D855" s="664"/>
      <c r="E855" s="664"/>
      <c r="F855" s="665"/>
      <c r="G855" s="664"/>
      <c r="H855" s="664"/>
      <c r="I855" s="664"/>
      <c r="J855" s="727"/>
      <c r="K855" s="664"/>
      <c r="L855" s="666"/>
    </row>
    <row r="856" spans="1:12" hidden="1" outlineLevel="1" x14ac:dyDescent="0.35">
      <c r="A856" s="483"/>
      <c r="B856" s="762" t="s">
        <v>2002</v>
      </c>
      <c r="C856" s="664" t="s">
        <v>324</v>
      </c>
      <c r="D856" s="664"/>
      <c r="E856" s="664"/>
      <c r="F856" s="665"/>
      <c r="G856" s="664"/>
      <c r="H856" s="664"/>
      <c r="I856" s="664"/>
      <c r="J856" s="727"/>
      <c r="K856" s="664"/>
      <c r="L856" s="666"/>
    </row>
    <row r="857" spans="1:12" hidden="1" outlineLevel="1" x14ac:dyDescent="0.35">
      <c r="A857" s="483"/>
      <c r="B857" s="762" t="s">
        <v>2002</v>
      </c>
      <c r="C857" s="664" t="s">
        <v>325</v>
      </c>
      <c r="D857" s="664"/>
      <c r="E857" s="664"/>
      <c r="F857" s="665"/>
      <c r="G857" s="664"/>
      <c r="H857" s="664"/>
      <c r="I857" s="664"/>
      <c r="J857" s="727"/>
      <c r="K857" s="664"/>
      <c r="L857" s="666"/>
    </row>
    <row r="858" spans="1:12" hidden="1" outlineLevel="1" x14ac:dyDescent="0.35">
      <c r="A858" s="483"/>
      <c r="B858" s="762" t="s">
        <v>2002</v>
      </c>
      <c r="C858" s="664" t="s">
        <v>326</v>
      </c>
      <c r="D858" s="664"/>
      <c r="E858" s="664"/>
      <c r="F858" s="665"/>
      <c r="G858" s="664"/>
      <c r="H858" s="664"/>
      <c r="I858" s="664"/>
      <c r="J858" s="727"/>
      <c r="K858" s="664"/>
      <c r="L858" s="666"/>
    </row>
    <row r="859" spans="1:12" hidden="1" outlineLevel="1" x14ac:dyDescent="0.35">
      <c r="A859" s="483"/>
      <c r="B859" s="762" t="s">
        <v>2002</v>
      </c>
      <c r="C859" s="664" t="s">
        <v>327</v>
      </c>
      <c r="D859" s="664"/>
      <c r="E859" s="664"/>
      <c r="F859" s="665"/>
      <c r="G859" s="664"/>
      <c r="H859" s="664"/>
      <c r="I859" s="664"/>
      <c r="J859" s="727"/>
      <c r="K859" s="664"/>
      <c r="L859" s="666"/>
    </row>
    <row r="860" spans="1:12" hidden="1" outlineLevel="1" x14ac:dyDescent="0.35">
      <c r="A860" s="483"/>
      <c r="B860" s="762" t="s">
        <v>2002</v>
      </c>
      <c r="C860" s="664" t="s">
        <v>328</v>
      </c>
      <c r="D860" s="664"/>
      <c r="E860" s="664"/>
      <c r="F860" s="665"/>
      <c r="G860" s="664"/>
      <c r="H860" s="664"/>
      <c r="I860" s="664"/>
      <c r="J860" s="727"/>
      <c r="K860" s="664"/>
      <c r="L860" s="666"/>
    </row>
    <row r="861" spans="1:12" hidden="1" outlineLevel="1" x14ac:dyDescent="0.35">
      <c r="A861" s="483"/>
      <c r="B861" s="762" t="s">
        <v>2002</v>
      </c>
      <c r="C861" s="664" t="s">
        <v>329</v>
      </c>
      <c r="D861" s="664"/>
      <c r="E861" s="664"/>
      <c r="F861" s="665"/>
      <c r="G861" s="664"/>
      <c r="H861" s="664"/>
      <c r="I861" s="664"/>
      <c r="J861" s="727"/>
      <c r="K861" s="664"/>
      <c r="L861" s="666"/>
    </row>
    <row r="862" spans="1:12" hidden="1" outlineLevel="1" x14ac:dyDescent="0.35">
      <c r="A862" s="483"/>
      <c r="B862" s="762" t="s">
        <v>2002</v>
      </c>
      <c r="C862" s="664" t="s">
        <v>330</v>
      </c>
      <c r="D862" s="664"/>
      <c r="E862" s="664"/>
      <c r="F862" s="665"/>
      <c r="G862" s="664"/>
      <c r="H862" s="664"/>
      <c r="I862" s="664"/>
      <c r="J862" s="727"/>
      <c r="K862" s="664"/>
      <c r="L862" s="666"/>
    </row>
    <row r="863" spans="1:12" hidden="1" outlineLevel="1" x14ac:dyDescent="0.35">
      <c r="A863" s="483"/>
      <c r="B863" s="762" t="s">
        <v>2002</v>
      </c>
      <c r="C863" s="664" t="s">
        <v>331</v>
      </c>
      <c r="D863" s="664"/>
      <c r="E863" s="664"/>
      <c r="F863" s="665"/>
      <c r="G863" s="664"/>
      <c r="H863" s="664"/>
      <c r="I863" s="664"/>
      <c r="J863" s="727"/>
      <c r="K863" s="664"/>
      <c r="L863" s="666"/>
    </row>
    <row r="864" spans="1:12" hidden="1" outlineLevel="1" x14ac:dyDescent="0.35">
      <c r="A864" s="483"/>
      <c r="B864" s="762" t="s">
        <v>2002</v>
      </c>
      <c r="C864" s="664" t="s">
        <v>332</v>
      </c>
      <c r="D864" s="664"/>
      <c r="E864" s="664"/>
      <c r="F864" s="665"/>
      <c r="G864" s="664"/>
      <c r="H864" s="664"/>
      <c r="I864" s="664"/>
      <c r="J864" s="727"/>
      <c r="K864" s="664"/>
      <c r="L864" s="666"/>
    </row>
    <row r="865" spans="1:12" hidden="1" outlineLevel="1" x14ac:dyDescent="0.35">
      <c r="A865" s="483"/>
      <c r="B865" s="762" t="s">
        <v>2002</v>
      </c>
      <c r="C865" s="664" t="s">
        <v>333</v>
      </c>
      <c r="D865" s="664"/>
      <c r="E865" s="664"/>
      <c r="F865" s="665"/>
      <c r="G865" s="664"/>
      <c r="H865" s="664"/>
      <c r="I865" s="664"/>
      <c r="J865" s="727"/>
      <c r="K865" s="664"/>
      <c r="L865" s="666"/>
    </row>
    <row r="866" spans="1:12" hidden="1" outlineLevel="1" x14ac:dyDescent="0.35">
      <c r="A866" s="483"/>
      <c r="B866" s="762" t="s">
        <v>2002</v>
      </c>
      <c r="C866" s="664" t="s">
        <v>334</v>
      </c>
      <c r="D866" s="664"/>
      <c r="E866" s="664"/>
      <c r="F866" s="665"/>
      <c r="G866" s="664"/>
      <c r="H866" s="664"/>
      <c r="I866" s="664"/>
      <c r="J866" s="727"/>
      <c r="K866" s="664"/>
      <c r="L866" s="666"/>
    </row>
    <row r="867" spans="1:12" hidden="1" outlineLevel="1" x14ac:dyDescent="0.35">
      <c r="A867" s="483"/>
      <c r="B867" s="762" t="s">
        <v>2002</v>
      </c>
      <c r="C867" s="664" t="s">
        <v>335</v>
      </c>
      <c r="D867" s="664"/>
      <c r="E867" s="664"/>
      <c r="F867" s="665"/>
      <c r="G867" s="664"/>
      <c r="H867" s="664"/>
      <c r="I867" s="664"/>
      <c r="J867" s="727"/>
      <c r="K867" s="664"/>
      <c r="L867" s="666"/>
    </row>
    <row r="868" spans="1:12" hidden="1" outlineLevel="1" x14ac:dyDescent="0.35">
      <c r="A868" s="483"/>
      <c r="B868" s="762" t="s">
        <v>2002</v>
      </c>
      <c r="C868" s="664" t="s">
        <v>336</v>
      </c>
      <c r="D868" s="664"/>
      <c r="E868" s="664"/>
      <c r="F868" s="665"/>
      <c r="G868" s="664"/>
      <c r="H868" s="664"/>
      <c r="I868" s="664"/>
      <c r="J868" s="727"/>
      <c r="K868" s="664"/>
      <c r="L868" s="666"/>
    </row>
    <row r="869" spans="1:12" hidden="1" outlineLevel="1" x14ac:dyDescent="0.35">
      <c r="A869" s="483"/>
      <c r="B869" s="762" t="s">
        <v>2002</v>
      </c>
      <c r="C869" s="664" t="s">
        <v>337</v>
      </c>
      <c r="D869" s="664"/>
      <c r="E869" s="664"/>
      <c r="F869" s="665"/>
      <c r="G869" s="664"/>
      <c r="H869" s="664"/>
      <c r="I869" s="664"/>
      <c r="J869" s="727"/>
      <c r="K869" s="664"/>
      <c r="L869" s="666"/>
    </row>
    <row r="870" spans="1:12" hidden="1" outlineLevel="1" x14ac:dyDescent="0.35">
      <c r="A870" s="483"/>
      <c r="B870" s="762" t="s">
        <v>2002</v>
      </c>
      <c r="C870" s="664" t="s">
        <v>338</v>
      </c>
      <c r="D870" s="664"/>
      <c r="E870" s="664"/>
      <c r="F870" s="665"/>
      <c r="G870" s="664"/>
      <c r="H870" s="664"/>
      <c r="I870" s="664"/>
      <c r="J870" s="727"/>
      <c r="K870" s="664"/>
      <c r="L870" s="666"/>
    </row>
    <row r="871" spans="1:12" hidden="1" outlineLevel="1" x14ac:dyDescent="0.35">
      <c r="A871" s="483"/>
      <c r="B871" s="762" t="s">
        <v>2002</v>
      </c>
      <c r="C871" s="664" t="s">
        <v>339</v>
      </c>
      <c r="D871" s="664"/>
      <c r="E871" s="664"/>
      <c r="F871" s="665"/>
      <c r="G871" s="664"/>
      <c r="H871" s="664"/>
      <c r="I871" s="664"/>
      <c r="J871" s="727"/>
      <c r="K871" s="664"/>
      <c r="L871" s="666"/>
    </row>
    <row r="872" spans="1:12" hidden="1" outlineLevel="1" x14ac:dyDescent="0.35">
      <c r="A872" s="483"/>
      <c r="B872" s="762" t="s">
        <v>2002</v>
      </c>
      <c r="C872" s="664" t="s">
        <v>340</v>
      </c>
      <c r="D872" s="664"/>
      <c r="E872" s="664"/>
      <c r="F872" s="665"/>
      <c r="G872" s="664"/>
      <c r="H872" s="664"/>
      <c r="I872" s="664"/>
      <c r="J872" s="727"/>
      <c r="K872" s="664"/>
      <c r="L872" s="666"/>
    </row>
    <row r="873" spans="1:12" hidden="1" outlineLevel="1" x14ac:dyDescent="0.35">
      <c r="A873" s="483"/>
      <c r="B873" s="762" t="s">
        <v>2002</v>
      </c>
      <c r="C873" s="664" t="s">
        <v>341</v>
      </c>
      <c r="D873" s="664"/>
      <c r="E873" s="664"/>
      <c r="F873" s="665"/>
      <c r="G873" s="664"/>
      <c r="H873" s="664"/>
      <c r="I873" s="664"/>
      <c r="J873" s="727"/>
      <c r="K873" s="664"/>
      <c r="L873" s="666"/>
    </row>
    <row r="874" spans="1:12" hidden="1" outlineLevel="1" x14ac:dyDescent="0.35">
      <c r="A874" s="483"/>
      <c r="B874" s="762" t="s">
        <v>2002</v>
      </c>
      <c r="C874" s="664" t="s">
        <v>342</v>
      </c>
      <c r="D874" s="664"/>
      <c r="E874" s="664"/>
      <c r="F874" s="665"/>
      <c r="G874" s="664"/>
      <c r="H874" s="664"/>
      <c r="I874" s="664"/>
      <c r="J874" s="727"/>
      <c r="K874" s="664"/>
      <c r="L874" s="666"/>
    </row>
    <row r="875" spans="1:12" hidden="1" outlineLevel="1" x14ac:dyDescent="0.35">
      <c r="A875" s="483"/>
      <c r="B875" s="762" t="s">
        <v>2002</v>
      </c>
      <c r="C875" s="664" t="s">
        <v>343</v>
      </c>
      <c r="D875" s="664"/>
      <c r="E875" s="664"/>
      <c r="F875" s="665"/>
      <c r="G875" s="664"/>
      <c r="H875" s="664"/>
      <c r="I875" s="664"/>
      <c r="J875" s="727"/>
      <c r="K875" s="664"/>
      <c r="L875" s="666"/>
    </row>
    <row r="876" spans="1:12" hidden="1" outlineLevel="1" x14ac:dyDescent="0.35">
      <c r="A876" s="483"/>
      <c r="B876" s="762" t="s">
        <v>2002</v>
      </c>
      <c r="C876" s="664" t="s">
        <v>344</v>
      </c>
      <c r="D876" s="664"/>
      <c r="E876" s="664"/>
      <c r="F876" s="665"/>
      <c r="G876" s="664"/>
      <c r="H876" s="664"/>
      <c r="I876" s="664"/>
      <c r="J876" s="727"/>
      <c r="K876" s="664"/>
      <c r="L876" s="666"/>
    </row>
    <row r="877" spans="1:12" hidden="1" outlineLevel="1" x14ac:dyDescent="0.35">
      <c r="A877" s="483"/>
      <c r="B877" s="762" t="s">
        <v>2002</v>
      </c>
      <c r="C877" s="664" t="s">
        <v>345</v>
      </c>
      <c r="D877" s="664"/>
      <c r="E877" s="664"/>
      <c r="F877" s="665"/>
      <c r="G877" s="664"/>
      <c r="H877" s="664"/>
      <c r="I877" s="664"/>
      <c r="J877" s="727"/>
      <c r="K877" s="664"/>
      <c r="L877" s="666"/>
    </row>
    <row r="878" spans="1:12" hidden="1" outlineLevel="1" x14ac:dyDescent="0.35">
      <c r="A878" s="483"/>
      <c r="B878" s="762" t="s">
        <v>2002</v>
      </c>
      <c r="C878" s="664" t="s">
        <v>346</v>
      </c>
      <c r="D878" s="664"/>
      <c r="E878" s="664"/>
      <c r="F878" s="665"/>
      <c r="G878" s="664"/>
      <c r="H878" s="664"/>
      <c r="I878" s="664"/>
      <c r="J878" s="727"/>
      <c r="K878" s="664"/>
      <c r="L878" s="666"/>
    </row>
    <row r="879" spans="1:12" hidden="1" outlineLevel="1" x14ac:dyDescent="0.35">
      <c r="A879" s="483"/>
      <c r="B879" s="762" t="s">
        <v>2002</v>
      </c>
      <c r="C879" s="664" t="s">
        <v>347</v>
      </c>
      <c r="D879" s="664"/>
      <c r="E879" s="664"/>
      <c r="F879" s="665"/>
      <c r="G879" s="664"/>
      <c r="H879" s="664"/>
      <c r="I879" s="664"/>
      <c r="J879" s="727"/>
      <c r="K879" s="664"/>
      <c r="L879" s="666"/>
    </row>
    <row r="880" spans="1:12" hidden="1" outlineLevel="1" x14ac:dyDescent="0.35">
      <c r="A880" s="483"/>
      <c r="B880" s="762" t="s">
        <v>2002</v>
      </c>
      <c r="C880" s="664" t="s">
        <v>348</v>
      </c>
      <c r="D880" s="664"/>
      <c r="E880" s="664"/>
      <c r="F880" s="665"/>
      <c r="G880" s="664"/>
      <c r="H880" s="664"/>
      <c r="I880" s="664"/>
      <c r="J880" s="727"/>
      <c r="K880" s="664"/>
      <c r="L880" s="666"/>
    </row>
    <row r="881" spans="1:12" hidden="1" outlineLevel="1" x14ac:dyDescent="0.35">
      <c r="A881" s="483"/>
      <c r="B881" s="762" t="s">
        <v>2002</v>
      </c>
      <c r="C881" s="664" t="s">
        <v>349</v>
      </c>
      <c r="D881" s="664"/>
      <c r="E881" s="664"/>
      <c r="F881" s="665"/>
      <c r="G881" s="664"/>
      <c r="H881" s="664"/>
      <c r="I881" s="664"/>
      <c r="J881" s="727"/>
      <c r="K881" s="664"/>
      <c r="L881" s="666"/>
    </row>
    <row r="882" spans="1:12" hidden="1" outlineLevel="1" x14ac:dyDescent="0.35">
      <c r="A882" s="483"/>
      <c r="B882" s="762" t="s">
        <v>2002</v>
      </c>
      <c r="C882" s="664" t="s">
        <v>350</v>
      </c>
      <c r="D882" s="664"/>
      <c r="E882" s="664"/>
      <c r="F882" s="665"/>
      <c r="G882" s="664"/>
      <c r="H882" s="664"/>
      <c r="I882" s="664"/>
      <c r="J882" s="727"/>
      <c r="K882" s="664"/>
      <c r="L882" s="666"/>
    </row>
    <row r="883" spans="1:12" hidden="1" outlineLevel="1" x14ac:dyDescent="0.35">
      <c r="A883" s="483"/>
      <c r="B883" s="762" t="s">
        <v>2002</v>
      </c>
      <c r="C883" s="664" t="s">
        <v>351</v>
      </c>
      <c r="D883" s="664"/>
      <c r="E883" s="664"/>
      <c r="F883" s="665"/>
      <c r="G883" s="664"/>
      <c r="H883" s="664"/>
      <c r="I883" s="664"/>
      <c r="J883" s="727"/>
      <c r="K883" s="664"/>
      <c r="L883" s="666"/>
    </row>
    <row r="884" spans="1:12" hidden="1" outlineLevel="1" x14ac:dyDescent="0.35">
      <c r="A884" s="483"/>
      <c r="B884" s="762" t="s">
        <v>2002</v>
      </c>
      <c r="C884" s="664" t="s">
        <v>352</v>
      </c>
      <c r="D884" s="664"/>
      <c r="E884" s="664"/>
      <c r="F884" s="665"/>
      <c r="G884" s="664"/>
      <c r="H884" s="664"/>
      <c r="I884" s="664"/>
      <c r="J884" s="727"/>
      <c r="K884" s="664"/>
      <c r="L884" s="666"/>
    </row>
    <row r="885" spans="1:12" hidden="1" outlineLevel="1" x14ac:dyDescent="0.35">
      <c r="A885" s="483"/>
      <c r="B885" s="762" t="s">
        <v>2002</v>
      </c>
      <c r="C885" s="664" t="s">
        <v>353</v>
      </c>
      <c r="D885" s="664"/>
      <c r="E885" s="664"/>
      <c r="F885" s="665"/>
      <c r="G885" s="664"/>
      <c r="H885" s="664"/>
      <c r="I885" s="664"/>
      <c r="J885" s="727"/>
      <c r="K885" s="664"/>
      <c r="L885" s="666"/>
    </row>
    <row r="886" spans="1:12" hidden="1" outlineLevel="1" x14ac:dyDescent="0.35">
      <c r="A886" s="483"/>
      <c r="B886" s="762" t="s">
        <v>2002</v>
      </c>
      <c r="C886" s="664" t="s">
        <v>354</v>
      </c>
      <c r="D886" s="664"/>
      <c r="E886" s="664"/>
      <c r="F886" s="665"/>
      <c r="G886" s="664"/>
      <c r="H886" s="664"/>
      <c r="I886" s="664"/>
      <c r="J886" s="727"/>
      <c r="K886" s="664"/>
      <c r="L886" s="666"/>
    </row>
    <row r="887" spans="1:12" hidden="1" outlineLevel="1" x14ac:dyDescent="0.35">
      <c r="A887" s="483"/>
      <c r="B887" s="762" t="s">
        <v>2002</v>
      </c>
      <c r="C887" s="664" t="s">
        <v>355</v>
      </c>
      <c r="D887" s="664"/>
      <c r="E887" s="664"/>
      <c r="F887" s="665"/>
      <c r="G887" s="664"/>
      <c r="H887" s="664"/>
      <c r="I887" s="664"/>
      <c r="J887" s="727"/>
      <c r="K887" s="664"/>
      <c r="L887" s="666"/>
    </row>
    <row r="888" spans="1:12" hidden="1" outlineLevel="1" x14ac:dyDescent="0.35">
      <c r="A888" s="483"/>
      <c r="B888" s="762" t="s">
        <v>2002</v>
      </c>
      <c r="C888" s="664" t="s">
        <v>356</v>
      </c>
      <c r="D888" s="664"/>
      <c r="E888" s="664"/>
      <c r="F888" s="665"/>
      <c r="G888" s="664"/>
      <c r="H888" s="664"/>
      <c r="I888" s="664"/>
      <c r="J888" s="727"/>
      <c r="K888" s="664"/>
      <c r="L888" s="666"/>
    </row>
    <row r="889" spans="1:12" hidden="1" outlineLevel="1" x14ac:dyDescent="0.35">
      <c r="A889" s="483"/>
      <c r="B889" s="762" t="s">
        <v>2002</v>
      </c>
      <c r="C889" s="664" t="s">
        <v>357</v>
      </c>
      <c r="D889" s="664"/>
      <c r="E889" s="664"/>
      <c r="F889" s="665"/>
      <c r="G889" s="664"/>
      <c r="H889" s="664"/>
      <c r="I889" s="664"/>
      <c r="J889" s="727"/>
      <c r="K889" s="664"/>
      <c r="L889" s="666"/>
    </row>
    <row r="890" spans="1:12" hidden="1" outlineLevel="1" x14ac:dyDescent="0.35">
      <c r="A890" s="483"/>
      <c r="B890" s="762" t="s">
        <v>2002</v>
      </c>
      <c r="C890" s="664" t="s">
        <v>358</v>
      </c>
      <c r="D890" s="664"/>
      <c r="E890" s="664"/>
      <c r="F890" s="665"/>
      <c r="G890" s="664"/>
      <c r="H890" s="664"/>
      <c r="I890" s="664"/>
      <c r="J890" s="727"/>
      <c r="K890" s="664"/>
      <c r="L890" s="666"/>
    </row>
    <row r="891" spans="1:12" hidden="1" outlineLevel="1" x14ac:dyDescent="0.35">
      <c r="A891" s="483"/>
      <c r="B891" s="762" t="s">
        <v>2002</v>
      </c>
      <c r="C891" s="664" t="s">
        <v>359</v>
      </c>
      <c r="D891" s="664"/>
      <c r="E891" s="664"/>
      <c r="F891" s="665"/>
      <c r="G891" s="664"/>
      <c r="H891" s="664"/>
      <c r="I891" s="664"/>
      <c r="J891" s="727"/>
      <c r="K891" s="664"/>
      <c r="L891" s="666"/>
    </row>
    <row r="892" spans="1:12" hidden="1" outlineLevel="1" x14ac:dyDescent="0.35">
      <c r="A892" s="483"/>
      <c r="B892" s="762" t="s">
        <v>2002</v>
      </c>
      <c r="C892" s="664" t="s">
        <v>360</v>
      </c>
      <c r="D892" s="664"/>
      <c r="E892" s="664"/>
      <c r="F892" s="665"/>
      <c r="G892" s="664"/>
      <c r="H892" s="664"/>
      <c r="I892" s="664"/>
      <c r="J892" s="727"/>
      <c r="K892" s="664"/>
      <c r="L892" s="666"/>
    </row>
    <row r="893" spans="1:12" hidden="1" outlineLevel="1" x14ac:dyDescent="0.35">
      <c r="A893" s="483"/>
      <c r="B893" s="762" t="s">
        <v>2002</v>
      </c>
      <c r="C893" s="664" t="s">
        <v>361</v>
      </c>
      <c r="D893" s="664"/>
      <c r="E893" s="664"/>
      <c r="F893" s="665"/>
      <c r="G893" s="664"/>
      <c r="H893" s="664"/>
      <c r="I893" s="664"/>
      <c r="J893" s="727"/>
      <c r="K893" s="664"/>
      <c r="L893" s="666"/>
    </row>
    <row r="894" spans="1:12" hidden="1" outlineLevel="1" x14ac:dyDescent="0.35">
      <c r="A894" s="483"/>
      <c r="B894" s="762" t="s">
        <v>2002</v>
      </c>
      <c r="C894" s="664" t="s">
        <v>362</v>
      </c>
      <c r="D894" s="664"/>
      <c r="E894" s="664"/>
      <c r="F894" s="665"/>
      <c r="G894" s="664"/>
      <c r="H894" s="664"/>
      <c r="I894" s="664"/>
      <c r="J894" s="727"/>
      <c r="K894" s="664"/>
      <c r="L894" s="666"/>
    </row>
    <row r="895" spans="1:12" hidden="1" outlineLevel="1" x14ac:dyDescent="0.35">
      <c r="A895" s="483"/>
      <c r="B895" s="762" t="s">
        <v>2002</v>
      </c>
      <c r="C895" s="664" t="s">
        <v>363</v>
      </c>
      <c r="D895" s="664"/>
      <c r="E895" s="664"/>
      <c r="F895" s="665"/>
      <c r="G895" s="664"/>
      <c r="H895" s="664"/>
      <c r="I895" s="664"/>
      <c r="J895" s="727"/>
      <c r="K895" s="664"/>
      <c r="L895" s="666"/>
    </row>
    <row r="896" spans="1:12" hidden="1" outlineLevel="1" x14ac:dyDescent="0.35">
      <c r="A896" s="483"/>
      <c r="B896" s="762" t="s">
        <v>2002</v>
      </c>
      <c r="C896" s="664" t="s">
        <v>364</v>
      </c>
      <c r="D896" s="664"/>
      <c r="E896" s="664"/>
      <c r="F896" s="665"/>
      <c r="G896" s="664"/>
      <c r="H896" s="664"/>
      <c r="I896" s="664"/>
      <c r="J896" s="727"/>
      <c r="K896" s="664"/>
      <c r="L896" s="666"/>
    </row>
    <row r="897" spans="1:12" hidden="1" outlineLevel="1" x14ac:dyDescent="0.35">
      <c r="A897" s="483"/>
      <c r="B897" s="762" t="s">
        <v>2002</v>
      </c>
      <c r="C897" s="664" t="s">
        <v>365</v>
      </c>
      <c r="D897" s="664"/>
      <c r="E897" s="664"/>
      <c r="F897" s="665"/>
      <c r="G897" s="664"/>
      <c r="H897" s="664"/>
      <c r="I897" s="664"/>
      <c r="J897" s="727"/>
      <c r="K897" s="664"/>
      <c r="L897" s="666"/>
    </row>
    <row r="898" spans="1:12" hidden="1" outlineLevel="1" x14ac:dyDescent="0.35">
      <c r="A898" s="483"/>
      <c r="B898" s="762" t="s">
        <v>2002</v>
      </c>
      <c r="C898" s="664" t="s">
        <v>366</v>
      </c>
      <c r="D898" s="664"/>
      <c r="E898" s="664"/>
      <c r="F898" s="665"/>
      <c r="G898" s="664"/>
      <c r="H898" s="664"/>
      <c r="I898" s="664"/>
      <c r="J898" s="727"/>
      <c r="K898" s="664"/>
      <c r="L898" s="666"/>
    </row>
    <row r="899" spans="1:12" hidden="1" outlineLevel="1" x14ac:dyDescent="0.35">
      <c r="A899" s="483"/>
      <c r="B899" s="762" t="s">
        <v>2002</v>
      </c>
      <c r="C899" s="664" t="s">
        <v>367</v>
      </c>
      <c r="D899" s="664"/>
      <c r="E899" s="664"/>
      <c r="F899" s="665"/>
      <c r="G899" s="664"/>
      <c r="H899" s="664"/>
      <c r="I899" s="664"/>
      <c r="J899" s="727"/>
      <c r="K899" s="664"/>
      <c r="L899" s="666"/>
    </row>
    <row r="900" spans="1:12" hidden="1" outlineLevel="1" x14ac:dyDescent="0.35">
      <c r="A900" s="483"/>
      <c r="B900" s="762" t="s">
        <v>2002</v>
      </c>
      <c r="C900" s="664" t="s">
        <v>368</v>
      </c>
      <c r="D900" s="664"/>
      <c r="E900" s="664"/>
      <c r="F900" s="665"/>
      <c r="G900" s="664"/>
      <c r="H900" s="664"/>
      <c r="I900" s="664"/>
      <c r="J900" s="727"/>
      <c r="K900" s="664"/>
      <c r="L900" s="666"/>
    </row>
    <row r="901" spans="1:12" hidden="1" outlineLevel="1" x14ac:dyDescent="0.35">
      <c r="A901" s="483"/>
      <c r="B901" s="762" t="s">
        <v>2002</v>
      </c>
      <c r="C901" s="664" t="s">
        <v>369</v>
      </c>
      <c r="D901" s="664"/>
      <c r="E901" s="664"/>
      <c r="F901" s="665"/>
      <c r="G901" s="664"/>
      <c r="H901" s="664"/>
      <c r="I901" s="664"/>
      <c r="J901" s="727"/>
      <c r="K901" s="664"/>
      <c r="L901" s="666"/>
    </row>
    <row r="902" spans="1:12" hidden="1" outlineLevel="1" x14ac:dyDescent="0.35">
      <c r="A902" s="483"/>
      <c r="B902" s="762" t="s">
        <v>2002</v>
      </c>
      <c r="C902" s="664" t="s">
        <v>370</v>
      </c>
      <c r="D902" s="664"/>
      <c r="E902" s="664"/>
      <c r="F902" s="665"/>
      <c r="G902" s="664"/>
      <c r="H902" s="664"/>
      <c r="I902" s="664"/>
      <c r="J902" s="727"/>
      <c r="K902" s="664"/>
      <c r="L902" s="666"/>
    </row>
    <row r="903" spans="1:12" hidden="1" outlineLevel="1" x14ac:dyDescent="0.35">
      <c r="A903" s="483"/>
      <c r="B903" s="762" t="s">
        <v>2002</v>
      </c>
      <c r="C903" s="664" t="s">
        <v>371</v>
      </c>
      <c r="D903" s="664"/>
      <c r="E903" s="664"/>
      <c r="F903" s="665"/>
      <c r="G903" s="664"/>
      <c r="H903" s="664"/>
      <c r="I903" s="664"/>
      <c r="J903" s="727"/>
      <c r="K903" s="664"/>
      <c r="L903" s="666"/>
    </row>
    <row r="904" spans="1:12" hidden="1" outlineLevel="1" x14ac:dyDescent="0.35">
      <c r="A904" s="483"/>
      <c r="B904" s="762" t="s">
        <v>2002</v>
      </c>
      <c r="C904" s="664" t="s">
        <v>372</v>
      </c>
      <c r="D904" s="664"/>
      <c r="E904" s="664"/>
      <c r="F904" s="665"/>
      <c r="G904" s="664"/>
      <c r="H904" s="664"/>
      <c r="I904" s="664"/>
      <c r="J904" s="727"/>
      <c r="K904" s="664"/>
      <c r="L904" s="666"/>
    </row>
    <row r="905" spans="1:12" hidden="1" outlineLevel="1" x14ac:dyDescent="0.35">
      <c r="A905" s="483"/>
      <c r="B905" s="762" t="s">
        <v>2002</v>
      </c>
      <c r="C905" s="664" t="s">
        <v>373</v>
      </c>
      <c r="D905" s="664"/>
      <c r="E905" s="664"/>
      <c r="F905" s="665"/>
      <c r="G905" s="664"/>
      <c r="H905" s="664"/>
      <c r="I905" s="664"/>
      <c r="J905" s="727"/>
      <c r="K905" s="664"/>
      <c r="L905" s="666"/>
    </row>
    <row r="906" spans="1:12" hidden="1" outlineLevel="1" x14ac:dyDescent="0.35">
      <c r="A906" s="483"/>
      <c r="B906" s="762" t="s">
        <v>2002</v>
      </c>
      <c r="C906" s="664" t="s">
        <v>374</v>
      </c>
      <c r="D906" s="664"/>
      <c r="E906" s="664"/>
      <c r="F906" s="665"/>
      <c r="G906" s="664"/>
      <c r="H906" s="664"/>
      <c r="I906" s="664"/>
      <c r="J906" s="727"/>
      <c r="K906" s="664"/>
      <c r="L906" s="666"/>
    </row>
    <row r="907" spans="1:12" hidden="1" outlineLevel="1" x14ac:dyDescent="0.35">
      <c r="A907" s="483"/>
      <c r="B907" s="762" t="s">
        <v>2002</v>
      </c>
      <c r="C907" s="664" t="s">
        <v>375</v>
      </c>
      <c r="D907" s="664"/>
      <c r="E907" s="664"/>
      <c r="F907" s="665"/>
      <c r="G907" s="664"/>
      <c r="H907" s="664"/>
      <c r="I907" s="664"/>
      <c r="J907" s="727"/>
      <c r="K907" s="664"/>
      <c r="L907" s="666"/>
    </row>
    <row r="908" spans="1:12" hidden="1" outlineLevel="1" x14ac:dyDescent="0.35">
      <c r="A908" s="483"/>
      <c r="B908" s="762" t="s">
        <v>2002</v>
      </c>
      <c r="C908" s="664" t="s">
        <v>376</v>
      </c>
      <c r="D908" s="664"/>
      <c r="E908" s="664"/>
      <c r="F908" s="665"/>
      <c r="G908" s="664"/>
      <c r="H908" s="664"/>
      <c r="I908" s="664"/>
      <c r="J908" s="727"/>
      <c r="K908" s="664"/>
      <c r="L908" s="666"/>
    </row>
    <row r="909" spans="1:12" hidden="1" outlineLevel="1" x14ac:dyDescent="0.35">
      <c r="A909" s="483"/>
      <c r="B909" s="762" t="s">
        <v>2002</v>
      </c>
      <c r="C909" s="664" t="s">
        <v>377</v>
      </c>
      <c r="D909" s="664"/>
      <c r="E909" s="664"/>
      <c r="F909" s="665"/>
      <c r="G909" s="664"/>
      <c r="H909" s="664"/>
      <c r="I909" s="664"/>
      <c r="J909" s="727"/>
      <c r="K909" s="664"/>
      <c r="L909" s="666"/>
    </row>
    <row r="910" spans="1:12" hidden="1" outlineLevel="1" x14ac:dyDescent="0.35">
      <c r="A910" s="483"/>
      <c r="B910" s="762" t="s">
        <v>2002</v>
      </c>
      <c r="C910" s="664" t="s">
        <v>378</v>
      </c>
      <c r="D910" s="664"/>
      <c r="E910" s="664"/>
      <c r="F910" s="665"/>
      <c r="G910" s="664"/>
      <c r="H910" s="664"/>
      <c r="I910" s="664"/>
      <c r="J910" s="727"/>
      <c r="K910" s="664"/>
      <c r="L910" s="666"/>
    </row>
    <row r="911" spans="1:12" hidden="1" outlineLevel="1" x14ac:dyDescent="0.35">
      <c r="A911" s="483"/>
      <c r="B911" s="762" t="s">
        <v>2002</v>
      </c>
      <c r="C911" s="664" t="s">
        <v>379</v>
      </c>
      <c r="D911" s="664"/>
      <c r="E911" s="664"/>
      <c r="F911" s="665"/>
      <c r="G911" s="664"/>
      <c r="H911" s="664"/>
      <c r="I911" s="664"/>
      <c r="J911" s="727"/>
      <c r="K911" s="664"/>
      <c r="L911" s="666"/>
    </row>
    <row r="912" spans="1:12" hidden="1" outlineLevel="1" x14ac:dyDescent="0.35">
      <c r="A912" s="483"/>
      <c r="B912" s="762" t="s">
        <v>2002</v>
      </c>
      <c r="C912" s="664" t="s">
        <v>380</v>
      </c>
      <c r="D912" s="664"/>
      <c r="E912" s="664"/>
      <c r="F912" s="665"/>
      <c r="G912" s="664"/>
      <c r="H912" s="664"/>
      <c r="I912" s="664"/>
      <c r="J912" s="727"/>
      <c r="K912" s="664"/>
      <c r="L912" s="666"/>
    </row>
    <row r="913" spans="1:12" hidden="1" outlineLevel="1" x14ac:dyDescent="0.35">
      <c r="A913" s="483"/>
      <c r="B913" s="762" t="s">
        <v>2002</v>
      </c>
      <c r="C913" s="664" t="s">
        <v>381</v>
      </c>
      <c r="D913" s="664"/>
      <c r="E913" s="664"/>
      <c r="F913" s="665"/>
      <c r="G913" s="664"/>
      <c r="H913" s="664"/>
      <c r="I913" s="664"/>
      <c r="J913" s="727"/>
      <c r="K913" s="664"/>
      <c r="L913" s="666"/>
    </row>
    <row r="914" spans="1:12" hidden="1" outlineLevel="1" x14ac:dyDescent="0.35">
      <c r="A914" s="483"/>
      <c r="B914" s="762" t="s">
        <v>2002</v>
      </c>
      <c r="C914" s="664" t="s">
        <v>382</v>
      </c>
      <c r="D914" s="664"/>
      <c r="E914" s="664"/>
      <c r="F914" s="665"/>
      <c r="G914" s="664"/>
      <c r="H914" s="664"/>
      <c r="I914" s="664"/>
      <c r="J914" s="727"/>
      <c r="K914" s="664"/>
      <c r="L914" s="666"/>
    </row>
    <row r="915" spans="1:12" hidden="1" outlineLevel="1" x14ac:dyDescent="0.35">
      <c r="A915" s="483"/>
      <c r="B915" s="762" t="s">
        <v>2002</v>
      </c>
      <c r="C915" s="664" t="s">
        <v>383</v>
      </c>
      <c r="D915" s="664"/>
      <c r="E915" s="664"/>
      <c r="F915" s="665"/>
      <c r="G915" s="664"/>
      <c r="H915" s="664"/>
      <c r="I915" s="664"/>
      <c r="J915" s="727"/>
      <c r="K915" s="664"/>
      <c r="L915" s="666"/>
    </row>
    <row r="916" spans="1:12" hidden="1" outlineLevel="1" x14ac:dyDescent="0.35">
      <c r="A916" s="483"/>
      <c r="B916" s="762" t="s">
        <v>2002</v>
      </c>
      <c r="C916" s="664" t="s">
        <v>384</v>
      </c>
      <c r="D916" s="664"/>
      <c r="E916" s="664"/>
      <c r="F916" s="665"/>
      <c r="G916" s="664"/>
      <c r="H916" s="664"/>
      <c r="I916" s="664"/>
      <c r="J916" s="727"/>
      <c r="K916" s="664"/>
      <c r="L916" s="666"/>
    </row>
    <row r="917" spans="1:12" hidden="1" outlineLevel="1" x14ac:dyDescent="0.35">
      <c r="A917" s="483"/>
      <c r="B917" s="762" t="s">
        <v>2002</v>
      </c>
      <c r="C917" s="664" t="s">
        <v>385</v>
      </c>
      <c r="D917" s="664"/>
      <c r="E917" s="664"/>
      <c r="F917" s="665"/>
      <c r="G917" s="664"/>
      <c r="H917" s="664"/>
      <c r="I917" s="664"/>
      <c r="J917" s="727"/>
      <c r="K917" s="664"/>
      <c r="L917" s="666"/>
    </row>
    <row r="918" spans="1:12" hidden="1" outlineLevel="1" x14ac:dyDescent="0.35">
      <c r="A918" s="483"/>
      <c r="B918" s="762" t="s">
        <v>2002</v>
      </c>
      <c r="C918" s="664" t="s">
        <v>386</v>
      </c>
      <c r="D918" s="664"/>
      <c r="E918" s="664"/>
      <c r="F918" s="665"/>
      <c r="G918" s="664"/>
      <c r="H918" s="664"/>
      <c r="I918" s="664"/>
      <c r="J918" s="727"/>
      <c r="K918" s="664"/>
      <c r="L918" s="666"/>
    </row>
    <row r="919" spans="1:12" hidden="1" outlineLevel="1" x14ac:dyDescent="0.35">
      <c r="A919" s="483"/>
      <c r="B919" s="762" t="s">
        <v>2002</v>
      </c>
      <c r="C919" s="664" t="s">
        <v>387</v>
      </c>
      <c r="D919" s="664"/>
      <c r="E919" s="664"/>
      <c r="F919" s="665"/>
      <c r="G919" s="664"/>
      <c r="H919" s="664"/>
      <c r="I919" s="664"/>
      <c r="J919" s="727"/>
      <c r="K919" s="664"/>
      <c r="L919" s="666"/>
    </row>
    <row r="920" spans="1:12" hidden="1" outlineLevel="1" x14ac:dyDescent="0.35">
      <c r="A920" s="483"/>
      <c r="B920" s="762" t="s">
        <v>2002</v>
      </c>
      <c r="C920" s="664" t="s">
        <v>388</v>
      </c>
      <c r="D920" s="664"/>
      <c r="E920" s="664"/>
      <c r="F920" s="665"/>
      <c r="G920" s="664"/>
      <c r="H920" s="664"/>
      <c r="I920" s="664"/>
      <c r="J920" s="727"/>
      <c r="K920" s="664"/>
      <c r="L920" s="666"/>
    </row>
    <row r="921" spans="1:12" hidden="1" outlineLevel="1" x14ac:dyDescent="0.35">
      <c r="A921" s="483"/>
      <c r="B921" s="762" t="s">
        <v>2002</v>
      </c>
      <c r="C921" s="664" t="s">
        <v>389</v>
      </c>
      <c r="D921" s="664"/>
      <c r="E921" s="664"/>
      <c r="F921" s="665"/>
      <c r="G921" s="664"/>
      <c r="H921" s="664"/>
      <c r="I921" s="664"/>
      <c r="J921" s="727"/>
      <c r="K921" s="664"/>
      <c r="L921" s="666"/>
    </row>
    <row r="922" spans="1:12" hidden="1" outlineLevel="1" x14ac:dyDescent="0.35">
      <c r="A922" s="483"/>
      <c r="B922" s="762" t="s">
        <v>2002</v>
      </c>
      <c r="C922" s="664" t="s">
        <v>390</v>
      </c>
      <c r="D922" s="664"/>
      <c r="E922" s="664"/>
      <c r="F922" s="665"/>
      <c r="G922" s="664"/>
      <c r="H922" s="664"/>
      <c r="I922" s="664"/>
      <c r="J922" s="727"/>
      <c r="K922" s="664"/>
      <c r="L922" s="666"/>
    </row>
    <row r="923" spans="1:12" hidden="1" outlineLevel="1" x14ac:dyDescent="0.35">
      <c r="A923" s="483"/>
      <c r="B923" s="762" t="s">
        <v>2002</v>
      </c>
      <c r="C923" s="664" t="s">
        <v>391</v>
      </c>
      <c r="D923" s="664"/>
      <c r="E923" s="664"/>
      <c r="F923" s="665"/>
      <c r="G923" s="664"/>
      <c r="H923" s="664"/>
      <c r="I923" s="664"/>
      <c r="J923" s="727"/>
      <c r="K923" s="664"/>
      <c r="L923" s="666"/>
    </row>
    <row r="924" spans="1:12" hidden="1" outlineLevel="1" x14ac:dyDescent="0.35">
      <c r="A924" s="483"/>
      <c r="B924" s="762" t="s">
        <v>2002</v>
      </c>
      <c r="C924" s="664" t="s">
        <v>392</v>
      </c>
      <c r="D924" s="664"/>
      <c r="E924" s="664"/>
      <c r="F924" s="665"/>
      <c r="G924" s="664"/>
      <c r="H924" s="664"/>
      <c r="I924" s="664"/>
      <c r="J924" s="727"/>
      <c r="K924" s="664"/>
      <c r="L924" s="666"/>
    </row>
    <row r="925" spans="1:12" hidden="1" outlineLevel="1" x14ac:dyDescent="0.35">
      <c r="A925" s="483"/>
      <c r="B925" s="762" t="s">
        <v>2002</v>
      </c>
      <c r="C925" s="664" t="s">
        <v>393</v>
      </c>
      <c r="D925" s="664"/>
      <c r="E925" s="664"/>
      <c r="F925" s="665"/>
      <c r="G925" s="664"/>
      <c r="H925" s="664"/>
      <c r="I925" s="664"/>
      <c r="J925" s="727"/>
      <c r="K925" s="664"/>
      <c r="L925" s="666"/>
    </row>
    <row r="926" spans="1:12" hidden="1" outlineLevel="1" x14ac:dyDescent="0.35">
      <c r="A926" s="483"/>
      <c r="B926" s="762" t="s">
        <v>2002</v>
      </c>
      <c r="C926" s="664" t="s">
        <v>394</v>
      </c>
      <c r="D926" s="664"/>
      <c r="E926" s="664"/>
      <c r="F926" s="665"/>
      <c r="G926" s="664"/>
      <c r="H926" s="664"/>
      <c r="I926" s="664"/>
      <c r="J926" s="727"/>
      <c r="K926" s="664"/>
      <c r="L926" s="666"/>
    </row>
    <row r="927" spans="1:12" hidden="1" outlineLevel="1" x14ac:dyDescent="0.35">
      <c r="A927" s="483"/>
      <c r="B927" s="762" t="s">
        <v>2002</v>
      </c>
      <c r="C927" s="664" t="s">
        <v>395</v>
      </c>
      <c r="D927" s="664"/>
      <c r="E927" s="664"/>
      <c r="F927" s="665"/>
      <c r="G927" s="664"/>
      <c r="H927" s="664"/>
      <c r="I927" s="664"/>
      <c r="J927" s="727"/>
      <c r="K927" s="664"/>
      <c r="L927" s="666"/>
    </row>
    <row r="928" spans="1:12" hidden="1" outlineLevel="1" x14ac:dyDescent="0.35">
      <c r="A928" s="483"/>
      <c r="B928" s="762" t="s">
        <v>2002</v>
      </c>
      <c r="C928" s="664" t="s">
        <v>396</v>
      </c>
      <c r="D928" s="664"/>
      <c r="E928" s="664"/>
      <c r="F928" s="665"/>
      <c r="G928" s="664"/>
      <c r="H928" s="664"/>
      <c r="I928" s="664"/>
      <c r="J928" s="727"/>
      <c r="K928" s="664"/>
      <c r="L928" s="666"/>
    </row>
    <row r="929" spans="1:12" hidden="1" outlineLevel="1" x14ac:dyDescent="0.35">
      <c r="A929" s="483"/>
      <c r="B929" s="762" t="s">
        <v>2002</v>
      </c>
      <c r="C929" s="664" t="s">
        <v>397</v>
      </c>
      <c r="D929" s="664"/>
      <c r="E929" s="664"/>
      <c r="F929" s="665"/>
      <c r="G929" s="664"/>
      <c r="H929" s="664"/>
      <c r="I929" s="664"/>
      <c r="J929" s="727"/>
      <c r="K929" s="664"/>
      <c r="L929" s="666"/>
    </row>
    <row r="930" spans="1:12" hidden="1" outlineLevel="1" x14ac:dyDescent="0.35">
      <c r="A930" s="483"/>
      <c r="B930" s="762" t="s">
        <v>2002</v>
      </c>
      <c r="C930" s="664" t="s">
        <v>398</v>
      </c>
      <c r="D930" s="664"/>
      <c r="E930" s="664"/>
      <c r="F930" s="665"/>
      <c r="G930" s="664"/>
      <c r="H930" s="664"/>
      <c r="I930" s="664"/>
      <c r="J930" s="727"/>
      <c r="K930" s="664"/>
      <c r="L930" s="666"/>
    </row>
    <row r="931" spans="1:12" hidden="1" outlineLevel="1" x14ac:dyDescent="0.35">
      <c r="A931" s="483"/>
      <c r="B931" s="762" t="s">
        <v>2002</v>
      </c>
      <c r="C931" s="664" t="s">
        <v>399</v>
      </c>
      <c r="D931" s="664"/>
      <c r="E931" s="664"/>
      <c r="F931" s="665"/>
      <c r="G931" s="664"/>
      <c r="H931" s="664"/>
      <c r="I931" s="664"/>
      <c r="J931" s="727"/>
      <c r="K931" s="664"/>
      <c r="L931" s="666"/>
    </row>
    <row r="932" spans="1:12" hidden="1" outlineLevel="1" x14ac:dyDescent="0.35">
      <c r="A932" s="483"/>
      <c r="B932" s="762" t="s">
        <v>2002</v>
      </c>
      <c r="C932" s="664" t="s">
        <v>400</v>
      </c>
      <c r="D932" s="664"/>
      <c r="E932" s="664"/>
      <c r="F932" s="665"/>
      <c r="G932" s="664"/>
      <c r="H932" s="664"/>
      <c r="I932" s="664"/>
      <c r="J932" s="727"/>
      <c r="K932" s="664"/>
      <c r="L932" s="666"/>
    </row>
    <row r="933" spans="1:12" hidden="1" outlineLevel="1" x14ac:dyDescent="0.35">
      <c r="A933" s="483"/>
      <c r="B933" s="762" t="s">
        <v>2002</v>
      </c>
      <c r="C933" s="664" t="s">
        <v>401</v>
      </c>
      <c r="D933" s="664"/>
      <c r="E933" s="664"/>
      <c r="F933" s="665"/>
      <c r="G933" s="664"/>
      <c r="H933" s="664"/>
      <c r="I933" s="664"/>
      <c r="J933" s="727"/>
      <c r="K933" s="664"/>
      <c r="L933" s="666"/>
    </row>
    <row r="934" spans="1:12" hidden="1" outlineLevel="1" x14ac:dyDescent="0.35">
      <c r="A934" s="483"/>
      <c r="B934" s="762" t="s">
        <v>2002</v>
      </c>
      <c r="C934" s="664" t="s">
        <v>402</v>
      </c>
      <c r="D934" s="664"/>
      <c r="E934" s="664"/>
      <c r="F934" s="665"/>
      <c r="G934" s="664"/>
      <c r="H934" s="664"/>
      <c r="I934" s="664"/>
      <c r="J934" s="727"/>
      <c r="K934" s="664"/>
      <c r="L934" s="666"/>
    </row>
    <row r="935" spans="1:12" hidden="1" outlineLevel="1" x14ac:dyDescent="0.35">
      <c r="A935" s="483"/>
      <c r="B935" s="762" t="s">
        <v>2002</v>
      </c>
      <c r="C935" s="664" t="s">
        <v>403</v>
      </c>
      <c r="D935" s="664"/>
      <c r="E935" s="664"/>
      <c r="F935" s="665"/>
      <c r="G935" s="664"/>
      <c r="H935" s="664"/>
      <c r="I935" s="664"/>
      <c r="J935" s="727"/>
      <c r="K935" s="664"/>
      <c r="L935" s="666"/>
    </row>
    <row r="936" spans="1:12" hidden="1" outlineLevel="1" x14ac:dyDescent="0.35">
      <c r="A936" s="483"/>
      <c r="B936" s="762" t="s">
        <v>2002</v>
      </c>
      <c r="C936" s="664" t="s">
        <v>404</v>
      </c>
      <c r="D936" s="664"/>
      <c r="E936" s="664"/>
      <c r="F936" s="665"/>
      <c r="G936" s="664"/>
      <c r="H936" s="664"/>
      <c r="I936" s="664"/>
      <c r="J936" s="727"/>
      <c r="K936" s="664"/>
      <c r="L936" s="666"/>
    </row>
    <row r="937" spans="1:12" hidden="1" outlineLevel="1" x14ac:dyDescent="0.35">
      <c r="A937" s="483"/>
      <c r="B937" s="762" t="s">
        <v>2002</v>
      </c>
      <c r="C937" s="664" t="s">
        <v>405</v>
      </c>
      <c r="D937" s="664"/>
      <c r="E937" s="664"/>
      <c r="F937" s="665"/>
      <c r="G937" s="664"/>
      <c r="H937" s="664"/>
      <c r="I937" s="664"/>
      <c r="J937" s="727"/>
      <c r="K937" s="664"/>
      <c r="L937" s="666"/>
    </row>
    <row r="938" spans="1:12" hidden="1" outlineLevel="1" x14ac:dyDescent="0.35">
      <c r="A938" s="483"/>
      <c r="B938" s="762" t="s">
        <v>2002</v>
      </c>
      <c r="C938" s="664" t="s">
        <v>406</v>
      </c>
      <c r="D938" s="664"/>
      <c r="E938" s="664"/>
      <c r="F938" s="665"/>
      <c r="G938" s="664"/>
      <c r="H938" s="664"/>
      <c r="I938" s="664"/>
      <c r="J938" s="727"/>
      <c r="K938" s="664"/>
      <c r="L938" s="666"/>
    </row>
    <row r="939" spans="1:12" hidden="1" outlineLevel="1" x14ac:dyDescent="0.35">
      <c r="A939" s="483"/>
      <c r="B939" s="762" t="s">
        <v>2002</v>
      </c>
      <c r="C939" s="664" t="s">
        <v>407</v>
      </c>
      <c r="D939" s="664"/>
      <c r="E939" s="664"/>
      <c r="F939" s="665"/>
      <c r="G939" s="664"/>
      <c r="H939" s="664"/>
      <c r="I939" s="664"/>
      <c r="J939" s="727"/>
      <c r="K939" s="664"/>
      <c r="L939" s="666"/>
    </row>
    <row r="940" spans="1:12" hidden="1" outlineLevel="1" x14ac:dyDescent="0.35">
      <c r="A940" s="483"/>
      <c r="B940" s="762" t="s">
        <v>2002</v>
      </c>
      <c r="C940" s="664" t="s">
        <v>408</v>
      </c>
      <c r="D940" s="664"/>
      <c r="E940" s="664"/>
      <c r="F940" s="665"/>
      <c r="G940" s="664"/>
      <c r="H940" s="664"/>
      <c r="I940" s="664"/>
      <c r="J940" s="727"/>
      <c r="K940" s="664"/>
      <c r="L940" s="666"/>
    </row>
    <row r="941" spans="1:12" hidden="1" outlineLevel="1" x14ac:dyDescent="0.35">
      <c r="A941" s="483"/>
      <c r="B941" s="762" t="s">
        <v>2002</v>
      </c>
      <c r="C941" s="664" t="s">
        <v>409</v>
      </c>
      <c r="D941" s="664"/>
      <c r="E941" s="664"/>
      <c r="F941" s="665"/>
      <c r="G941" s="664"/>
      <c r="H941" s="664"/>
      <c r="I941" s="664"/>
      <c r="J941" s="727"/>
      <c r="K941" s="664"/>
      <c r="L941" s="666"/>
    </row>
    <row r="942" spans="1:12" hidden="1" outlineLevel="1" x14ac:dyDescent="0.35">
      <c r="A942" s="483"/>
      <c r="B942" s="762" t="s">
        <v>2002</v>
      </c>
      <c r="C942" s="664" t="s">
        <v>410</v>
      </c>
      <c r="D942" s="664"/>
      <c r="E942" s="664"/>
      <c r="F942" s="665"/>
      <c r="G942" s="664"/>
      <c r="H942" s="664"/>
      <c r="I942" s="664"/>
      <c r="J942" s="727"/>
      <c r="K942" s="664"/>
      <c r="L942" s="666"/>
    </row>
    <row r="943" spans="1:12" hidden="1" outlineLevel="1" x14ac:dyDescent="0.35">
      <c r="A943" s="483"/>
      <c r="B943" s="762" t="s">
        <v>2002</v>
      </c>
      <c r="C943" s="664" t="s">
        <v>411</v>
      </c>
      <c r="D943" s="664"/>
      <c r="E943" s="664"/>
      <c r="F943" s="665"/>
      <c r="G943" s="664"/>
      <c r="H943" s="664"/>
      <c r="I943" s="664"/>
      <c r="J943" s="727"/>
      <c r="K943" s="664"/>
      <c r="L943" s="666"/>
    </row>
    <row r="944" spans="1:12" hidden="1" outlineLevel="1" x14ac:dyDescent="0.35">
      <c r="A944" s="483"/>
      <c r="B944" s="762" t="s">
        <v>2002</v>
      </c>
      <c r="C944" s="664" t="s">
        <v>412</v>
      </c>
      <c r="D944" s="664"/>
      <c r="E944" s="664"/>
      <c r="F944" s="665"/>
      <c r="G944" s="664"/>
      <c r="H944" s="664"/>
      <c r="I944" s="664"/>
      <c r="J944" s="727"/>
      <c r="K944" s="664"/>
      <c r="L944" s="666"/>
    </row>
    <row r="945" spans="1:12" hidden="1" outlineLevel="1" x14ac:dyDescent="0.35">
      <c r="A945" s="483"/>
      <c r="B945" s="762" t="s">
        <v>2002</v>
      </c>
      <c r="C945" s="664" t="s">
        <v>413</v>
      </c>
      <c r="D945" s="664"/>
      <c r="E945" s="664"/>
      <c r="F945" s="665"/>
      <c r="G945" s="664"/>
      <c r="H945" s="664"/>
      <c r="I945" s="664"/>
      <c r="J945" s="727"/>
      <c r="K945" s="664"/>
      <c r="L945" s="666"/>
    </row>
    <row r="946" spans="1:12" hidden="1" outlineLevel="1" x14ac:dyDescent="0.35">
      <c r="A946" s="483"/>
      <c r="B946" s="762" t="s">
        <v>2002</v>
      </c>
      <c r="C946" s="664" t="s">
        <v>414</v>
      </c>
      <c r="D946" s="664"/>
      <c r="E946" s="664"/>
      <c r="F946" s="665"/>
      <c r="G946" s="664"/>
      <c r="H946" s="664"/>
      <c r="I946" s="664"/>
      <c r="J946" s="727"/>
      <c r="K946" s="664"/>
      <c r="L946" s="666"/>
    </row>
    <row r="947" spans="1:12" hidden="1" outlineLevel="1" x14ac:dyDescent="0.35">
      <c r="A947" s="483"/>
      <c r="B947" s="762" t="s">
        <v>2002</v>
      </c>
      <c r="C947" s="664" t="s">
        <v>415</v>
      </c>
      <c r="D947" s="664"/>
      <c r="E947" s="664"/>
      <c r="F947" s="665"/>
      <c r="G947" s="664"/>
      <c r="H947" s="664"/>
      <c r="I947" s="664"/>
      <c r="J947" s="727"/>
      <c r="K947" s="664"/>
      <c r="L947" s="666"/>
    </row>
    <row r="948" spans="1:12" hidden="1" outlineLevel="1" x14ac:dyDescent="0.35">
      <c r="A948" s="483"/>
      <c r="B948" s="762" t="s">
        <v>2002</v>
      </c>
      <c r="C948" s="664" t="s">
        <v>416</v>
      </c>
      <c r="D948" s="664"/>
      <c r="E948" s="664"/>
      <c r="F948" s="665"/>
      <c r="G948" s="664"/>
      <c r="H948" s="664"/>
      <c r="I948" s="664"/>
      <c r="J948" s="727"/>
      <c r="K948" s="664"/>
      <c r="L948" s="666"/>
    </row>
    <row r="949" spans="1:12" hidden="1" outlineLevel="1" x14ac:dyDescent="0.35">
      <c r="A949" s="483"/>
      <c r="B949" s="762" t="s">
        <v>2002</v>
      </c>
      <c r="C949" s="664" t="s">
        <v>417</v>
      </c>
      <c r="D949" s="664"/>
      <c r="E949" s="664"/>
      <c r="F949" s="665"/>
      <c r="G949" s="664"/>
      <c r="H949" s="664"/>
      <c r="I949" s="664"/>
      <c r="J949" s="727"/>
      <c r="K949" s="664"/>
      <c r="L949" s="666"/>
    </row>
    <row r="950" spans="1:12" hidden="1" outlineLevel="1" x14ac:dyDescent="0.35">
      <c r="A950" s="483"/>
      <c r="B950" s="762" t="s">
        <v>2002</v>
      </c>
      <c r="C950" s="664" t="s">
        <v>418</v>
      </c>
      <c r="D950" s="664"/>
      <c r="E950" s="664"/>
      <c r="F950" s="665"/>
      <c r="G950" s="664"/>
      <c r="H950" s="664"/>
      <c r="I950" s="664"/>
      <c r="J950" s="727"/>
      <c r="K950" s="664"/>
      <c r="L950" s="666"/>
    </row>
    <row r="951" spans="1:12" hidden="1" outlineLevel="1" x14ac:dyDescent="0.35">
      <c r="A951" s="483"/>
      <c r="B951" s="762" t="s">
        <v>2002</v>
      </c>
      <c r="C951" s="664" t="s">
        <v>419</v>
      </c>
      <c r="D951" s="664"/>
      <c r="E951" s="664"/>
      <c r="F951" s="665"/>
      <c r="G951" s="664"/>
      <c r="H951" s="664"/>
      <c r="I951" s="664"/>
      <c r="J951" s="727"/>
      <c r="K951" s="664"/>
      <c r="L951" s="666"/>
    </row>
    <row r="952" spans="1:12" hidden="1" outlineLevel="1" x14ac:dyDescent="0.35">
      <c r="A952" s="483"/>
      <c r="B952" s="762" t="s">
        <v>2002</v>
      </c>
      <c r="C952" s="664" t="s">
        <v>420</v>
      </c>
      <c r="D952" s="664"/>
      <c r="E952" s="664"/>
      <c r="F952" s="665"/>
      <c r="G952" s="664"/>
      <c r="H952" s="664"/>
      <c r="I952" s="664"/>
      <c r="J952" s="727"/>
      <c r="K952" s="664"/>
      <c r="L952" s="666"/>
    </row>
    <row r="953" spans="1:12" hidden="1" outlineLevel="1" x14ac:dyDescent="0.35">
      <c r="A953" s="483"/>
      <c r="B953" s="762" t="s">
        <v>2002</v>
      </c>
      <c r="C953" s="664" t="s">
        <v>421</v>
      </c>
      <c r="D953" s="664"/>
      <c r="E953" s="664"/>
      <c r="F953" s="665"/>
      <c r="G953" s="664"/>
      <c r="H953" s="664"/>
      <c r="I953" s="664"/>
      <c r="J953" s="727"/>
      <c r="K953" s="664"/>
      <c r="L953" s="666"/>
    </row>
    <row r="954" spans="1:12" hidden="1" outlineLevel="1" x14ac:dyDescent="0.35">
      <c r="A954" s="483"/>
      <c r="B954" s="762" t="s">
        <v>2002</v>
      </c>
      <c r="C954" s="664" t="s">
        <v>422</v>
      </c>
      <c r="D954" s="664"/>
      <c r="E954" s="664"/>
      <c r="F954" s="665"/>
      <c r="G954" s="664"/>
      <c r="H954" s="664"/>
      <c r="I954" s="664"/>
      <c r="J954" s="727"/>
      <c r="K954" s="664"/>
      <c r="L954" s="666"/>
    </row>
    <row r="955" spans="1:12" hidden="1" outlineLevel="1" x14ac:dyDescent="0.35">
      <c r="A955" s="483"/>
      <c r="B955" s="762" t="s">
        <v>2002</v>
      </c>
      <c r="C955" s="664" t="s">
        <v>423</v>
      </c>
      <c r="D955" s="664"/>
      <c r="E955" s="664"/>
      <c r="F955" s="665"/>
      <c r="G955" s="664"/>
      <c r="H955" s="664"/>
      <c r="I955" s="664"/>
      <c r="J955" s="727"/>
      <c r="K955" s="664"/>
      <c r="L955" s="666"/>
    </row>
    <row r="956" spans="1:12" hidden="1" outlineLevel="1" x14ac:dyDescent="0.35">
      <c r="A956" s="483"/>
      <c r="B956" s="762" t="s">
        <v>2002</v>
      </c>
      <c r="C956" s="664" t="s">
        <v>424</v>
      </c>
      <c r="D956" s="664"/>
      <c r="E956" s="664"/>
      <c r="F956" s="665"/>
      <c r="G956" s="664"/>
      <c r="H956" s="664"/>
      <c r="I956" s="664"/>
      <c r="J956" s="727"/>
      <c r="K956" s="664"/>
      <c r="L956" s="666"/>
    </row>
    <row r="957" spans="1:12" hidden="1" outlineLevel="1" x14ac:dyDescent="0.35">
      <c r="A957" s="483"/>
      <c r="B957" s="762" t="s">
        <v>2002</v>
      </c>
      <c r="C957" s="664" t="s">
        <v>425</v>
      </c>
      <c r="D957" s="664"/>
      <c r="E957" s="664"/>
      <c r="F957" s="665"/>
      <c r="G957" s="664"/>
      <c r="H957" s="664"/>
      <c r="I957" s="664"/>
      <c r="J957" s="727"/>
      <c r="K957" s="664"/>
      <c r="L957" s="666"/>
    </row>
    <row r="958" spans="1:12" hidden="1" outlineLevel="1" x14ac:dyDescent="0.35">
      <c r="A958" s="483"/>
      <c r="B958" s="762" t="s">
        <v>2002</v>
      </c>
      <c r="C958" s="664" t="s">
        <v>426</v>
      </c>
      <c r="D958" s="664"/>
      <c r="E958" s="664"/>
      <c r="F958" s="665"/>
      <c r="G958" s="664"/>
      <c r="H958" s="664"/>
      <c r="I958" s="664"/>
      <c r="J958" s="727"/>
      <c r="K958" s="664"/>
      <c r="L958" s="666"/>
    </row>
    <row r="959" spans="1:12" hidden="1" outlineLevel="1" x14ac:dyDescent="0.35">
      <c r="A959" s="483"/>
      <c r="B959" s="762" t="s">
        <v>2002</v>
      </c>
      <c r="C959" s="664" t="s">
        <v>427</v>
      </c>
      <c r="D959" s="664"/>
      <c r="E959" s="664"/>
      <c r="F959" s="665"/>
      <c r="G959" s="664"/>
      <c r="H959" s="664"/>
      <c r="I959" s="664"/>
      <c r="J959" s="727"/>
      <c r="K959" s="664"/>
      <c r="L959" s="666"/>
    </row>
    <row r="960" spans="1:12" hidden="1" outlineLevel="1" x14ac:dyDescent="0.35">
      <c r="A960" s="483"/>
      <c r="B960" s="762" t="s">
        <v>2002</v>
      </c>
      <c r="C960" s="664" t="s">
        <v>428</v>
      </c>
      <c r="D960" s="664"/>
      <c r="E960" s="664"/>
      <c r="F960" s="665"/>
      <c r="G960" s="664"/>
      <c r="H960" s="664"/>
      <c r="I960" s="664"/>
      <c r="J960" s="727"/>
      <c r="K960" s="664"/>
      <c r="L960" s="666"/>
    </row>
    <row r="961" spans="1:12" hidden="1" outlineLevel="1" x14ac:dyDescent="0.35">
      <c r="A961" s="483"/>
      <c r="B961" s="762" t="s">
        <v>2002</v>
      </c>
      <c r="C961" s="664" t="s">
        <v>429</v>
      </c>
      <c r="D961" s="664"/>
      <c r="E961" s="664"/>
      <c r="F961" s="665"/>
      <c r="G961" s="664"/>
      <c r="H961" s="664"/>
      <c r="I961" s="664"/>
      <c r="J961" s="727"/>
      <c r="K961" s="664"/>
      <c r="L961" s="666"/>
    </row>
    <row r="962" spans="1:12" hidden="1" outlineLevel="1" x14ac:dyDescent="0.35">
      <c r="A962" s="483"/>
      <c r="B962" s="762" t="s">
        <v>2002</v>
      </c>
      <c r="C962" s="664" t="s">
        <v>430</v>
      </c>
      <c r="D962" s="664"/>
      <c r="E962" s="664"/>
      <c r="F962" s="665"/>
      <c r="G962" s="664"/>
      <c r="H962" s="664"/>
      <c r="I962" s="664"/>
      <c r="J962" s="727"/>
      <c r="K962" s="664"/>
      <c r="L962" s="666"/>
    </row>
    <row r="963" spans="1:12" hidden="1" outlineLevel="1" x14ac:dyDescent="0.35">
      <c r="A963" s="483"/>
      <c r="B963" s="762" t="s">
        <v>2002</v>
      </c>
      <c r="C963" s="664" t="s">
        <v>431</v>
      </c>
      <c r="D963" s="664"/>
      <c r="E963" s="664"/>
      <c r="F963" s="665"/>
      <c r="G963" s="664"/>
      <c r="H963" s="664"/>
      <c r="I963" s="664"/>
      <c r="J963" s="727"/>
      <c r="K963" s="664"/>
      <c r="L963" s="666"/>
    </row>
    <row r="964" spans="1:12" hidden="1" outlineLevel="1" x14ac:dyDescent="0.35">
      <c r="A964" s="483"/>
      <c r="B964" s="762" t="s">
        <v>2002</v>
      </c>
      <c r="C964" s="664" t="s">
        <v>432</v>
      </c>
      <c r="D964" s="664"/>
      <c r="E964" s="664"/>
      <c r="F964" s="665"/>
      <c r="G964" s="664"/>
      <c r="H964" s="664"/>
      <c r="I964" s="664"/>
      <c r="J964" s="727"/>
      <c r="K964" s="664"/>
      <c r="L964" s="666"/>
    </row>
    <row r="965" spans="1:12" hidden="1" outlineLevel="1" x14ac:dyDescent="0.35">
      <c r="A965" s="483"/>
      <c r="B965" s="762" t="s">
        <v>2002</v>
      </c>
      <c r="C965" s="664" t="s">
        <v>433</v>
      </c>
      <c r="D965" s="664"/>
      <c r="E965" s="664"/>
      <c r="F965" s="665"/>
      <c r="G965" s="664"/>
      <c r="H965" s="664"/>
      <c r="I965" s="664"/>
      <c r="J965" s="727"/>
      <c r="K965" s="664"/>
      <c r="L965" s="666"/>
    </row>
    <row r="966" spans="1:12" hidden="1" outlineLevel="1" x14ac:dyDescent="0.35">
      <c r="A966" s="483"/>
      <c r="B966" s="762" t="s">
        <v>2002</v>
      </c>
      <c r="C966" s="664" t="s">
        <v>434</v>
      </c>
      <c r="D966" s="664"/>
      <c r="E966" s="664"/>
      <c r="F966" s="665"/>
      <c r="G966" s="664"/>
      <c r="H966" s="664"/>
      <c r="I966" s="664"/>
      <c r="J966" s="727"/>
      <c r="K966" s="664"/>
      <c r="L966" s="666"/>
    </row>
    <row r="967" spans="1:12" hidden="1" outlineLevel="1" x14ac:dyDescent="0.35">
      <c r="A967" s="483"/>
      <c r="B967" s="762" t="s">
        <v>2002</v>
      </c>
      <c r="C967" s="664" t="s">
        <v>435</v>
      </c>
      <c r="D967" s="664"/>
      <c r="E967" s="664"/>
      <c r="F967" s="665"/>
      <c r="G967" s="664"/>
      <c r="H967" s="664"/>
      <c r="I967" s="664"/>
      <c r="J967" s="727"/>
      <c r="K967" s="664"/>
      <c r="L967" s="666"/>
    </row>
    <row r="968" spans="1:12" hidden="1" outlineLevel="1" x14ac:dyDescent="0.35">
      <c r="A968" s="483"/>
      <c r="B968" s="762" t="s">
        <v>2002</v>
      </c>
      <c r="C968" s="664" t="s">
        <v>436</v>
      </c>
      <c r="D968" s="664"/>
      <c r="E968" s="664"/>
      <c r="F968" s="665"/>
      <c r="G968" s="664"/>
      <c r="H968" s="664"/>
      <c r="I968" s="664"/>
      <c r="J968" s="727"/>
      <c r="K968" s="664"/>
      <c r="L968" s="666"/>
    </row>
    <row r="969" spans="1:12" hidden="1" outlineLevel="1" x14ac:dyDescent="0.35">
      <c r="A969" s="483"/>
      <c r="B969" s="762" t="s">
        <v>2002</v>
      </c>
      <c r="C969" s="664" t="s">
        <v>437</v>
      </c>
      <c r="D969" s="664"/>
      <c r="E969" s="664"/>
      <c r="F969" s="665"/>
      <c r="G969" s="664"/>
      <c r="H969" s="664"/>
      <c r="I969" s="664"/>
      <c r="J969" s="727"/>
      <c r="K969" s="664"/>
      <c r="L969" s="666"/>
    </row>
    <row r="970" spans="1:12" hidden="1" outlineLevel="1" x14ac:dyDescent="0.35">
      <c r="A970" s="483"/>
      <c r="B970" s="762" t="s">
        <v>2002</v>
      </c>
      <c r="C970" s="664" t="s">
        <v>438</v>
      </c>
      <c r="D970" s="664"/>
      <c r="E970" s="664"/>
      <c r="F970" s="665"/>
      <c r="G970" s="664"/>
      <c r="H970" s="664"/>
      <c r="I970" s="664"/>
      <c r="J970" s="727"/>
      <c r="K970" s="664"/>
      <c r="L970" s="666"/>
    </row>
    <row r="971" spans="1:12" hidden="1" outlineLevel="1" x14ac:dyDescent="0.35">
      <c r="A971" s="483"/>
      <c r="B971" s="762" t="s">
        <v>2002</v>
      </c>
      <c r="C971" s="664" t="s">
        <v>439</v>
      </c>
      <c r="D971" s="664"/>
      <c r="E971" s="664"/>
      <c r="F971" s="665"/>
      <c r="G971" s="664"/>
      <c r="H971" s="664"/>
      <c r="I971" s="664"/>
      <c r="J971" s="727"/>
      <c r="K971" s="664"/>
      <c r="L971" s="666"/>
    </row>
    <row r="972" spans="1:12" hidden="1" outlineLevel="1" x14ac:dyDescent="0.35">
      <c r="A972" s="483"/>
      <c r="B972" s="762" t="s">
        <v>2002</v>
      </c>
      <c r="C972" s="664" t="s">
        <v>440</v>
      </c>
      <c r="D972" s="664"/>
      <c r="E972" s="664"/>
      <c r="F972" s="665"/>
      <c r="G972" s="664"/>
      <c r="H972" s="664"/>
      <c r="I972" s="664"/>
      <c r="J972" s="727"/>
      <c r="K972" s="664"/>
      <c r="L972" s="666"/>
    </row>
    <row r="973" spans="1:12" hidden="1" outlineLevel="1" x14ac:dyDescent="0.35">
      <c r="A973" s="483"/>
      <c r="B973" s="762" t="s">
        <v>2002</v>
      </c>
      <c r="C973" s="664" t="s">
        <v>441</v>
      </c>
      <c r="D973" s="664"/>
      <c r="E973" s="664"/>
      <c r="F973" s="665"/>
      <c r="G973" s="664"/>
      <c r="H973" s="664"/>
      <c r="I973" s="664"/>
      <c r="J973" s="727"/>
      <c r="K973" s="664"/>
      <c r="L973" s="666"/>
    </row>
    <row r="974" spans="1:12" hidden="1" outlineLevel="1" x14ac:dyDescent="0.35">
      <c r="A974" s="483"/>
      <c r="B974" s="762" t="s">
        <v>2002</v>
      </c>
      <c r="C974" s="664" t="s">
        <v>442</v>
      </c>
      <c r="D974" s="664"/>
      <c r="E974" s="664"/>
      <c r="F974" s="665"/>
      <c r="G974" s="664"/>
      <c r="H974" s="664"/>
      <c r="I974" s="664"/>
      <c r="J974" s="727"/>
      <c r="K974" s="664"/>
      <c r="L974" s="666"/>
    </row>
    <row r="975" spans="1:12" hidden="1" outlineLevel="1" x14ac:dyDescent="0.35">
      <c r="A975" s="483"/>
      <c r="B975" s="762" t="s">
        <v>2002</v>
      </c>
      <c r="C975" s="664" t="s">
        <v>443</v>
      </c>
      <c r="D975" s="664"/>
      <c r="E975" s="664"/>
      <c r="F975" s="665"/>
      <c r="G975" s="664"/>
      <c r="H975" s="664"/>
      <c r="I975" s="664"/>
      <c r="J975" s="727"/>
      <c r="K975" s="664"/>
      <c r="L975" s="666"/>
    </row>
    <row r="976" spans="1:12" hidden="1" outlineLevel="1" x14ac:dyDescent="0.35">
      <c r="A976" s="483"/>
      <c r="B976" s="762" t="s">
        <v>2002</v>
      </c>
      <c r="C976" s="664" t="s">
        <v>444</v>
      </c>
      <c r="D976" s="664"/>
      <c r="E976" s="664"/>
      <c r="F976" s="665"/>
      <c r="G976" s="664"/>
      <c r="H976" s="664"/>
      <c r="I976" s="664"/>
      <c r="J976" s="727"/>
      <c r="K976" s="664"/>
      <c r="L976" s="666"/>
    </row>
    <row r="977" spans="1:12" hidden="1" outlineLevel="1" x14ac:dyDescent="0.35">
      <c r="A977" s="483"/>
      <c r="B977" s="762" t="s">
        <v>2002</v>
      </c>
      <c r="C977" s="664" t="s">
        <v>445</v>
      </c>
      <c r="D977" s="664"/>
      <c r="E977" s="664"/>
      <c r="F977" s="665"/>
      <c r="G977" s="664"/>
      <c r="H977" s="664"/>
      <c r="I977" s="664"/>
      <c r="J977" s="727"/>
      <c r="K977" s="664"/>
      <c r="L977" s="666"/>
    </row>
    <row r="978" spans="1:12" hidden="1" outlineLevel="1" x14ac:dyDescent="0.35">
      <c r="A978" s="483"/>
      <c r="B978" s="762" t="s">
        <v>2002</v>
      </c>
      <c r="C978" s="664" t="s">
        <v>446</v>
      </c>
      <c r="D978" s="664"/>
      <c r="E978" s="664"/>
      <c r="F978" s="665"/>
      <c r="G978" s="664"/>
      <c r="H978" s="664"/>
      <c r="I978" s="664"/>
      <c r="J978" s="727"/>
      <c r="K978" s="664"/>
      <c r="L978" s="666"/>
    </row>
    <row r="979" spans="1:12" hidden="1" outlineLevel="1" x14ac:dyDescent="0.35">
      <c r="A979" s="483"/>
      <c r="B979" s="762" t="s">
        <v>2002</v>
      </c>
      <c r="C979" s="664" t="s">
        <v>447</v>
      </c>
      <c r="D979" s="664"/>
      <c r="E979" s="664"/>
      <c r="F979" s="665"/>
      <c r="G979" s="664"/>
      <c r="H979" s="664"/>
      <c r="I979" s="664"/>
      <c r="J979" s="727"/>
      <c r="K979" s="664"/>
      <c r="L979" s="666"/>
    </row>
    <row r="980" spans="1:12" hidden="1" outlineLevel="1" x14ac:dyDescent="0.35">
      <c r="A980" s="483"/>
      <c r="B980" s="762" t="s">
        <v>2002</v>
      </c>
      <c r="C980" s="664" t="s">
        <v>448</v>
      </c>
      <c r="D980" s="664"/>
      <c r="E980" s="664"/>
      <c r="F980" s="665"/>
      <c r="G980" s="664"/>
      <c r="H980" s="664"/>
      <c r="I980" s="664"/>
      <c r="J980" s="727"/>
      <c r="K980" s="664"/>
      <c r="L980" s="666"/>
    </row>
    <row r="981" spans="1:12" hidden="1" outlineLevel="1" x14ac:dyDescent="0.35">
      <c r="A981" s="483"/>
      <c r="B981" s="762" t="s">
        <v>2002</v>
      </c>
      <c r="C981" s="664" t="s">
        <v>449</v>
      </c>
      <c r="D981" s="664"/>
      <c r="E981" s="664"/>
      <c r="F981" s="665"/>
      <c r="G981" s="664"/>
      <c r="H981" s="664"/>
      <c r="I981" s="664"/>
      <c r="J981" s="727"/>
      <c r="K981" s="664"/>
      <c r="L981" s="666"/>
    </row>
    <row r="982" spans="1:12" hidden="1" outlineLevel="1" x14ac:dyDescent="0.35">
      <c r="A982" s="483"/>
      <c r="B982" s="762" t="s">
        <v>2002</v>
      </c>
      <c r="C982" s="664" t="s">
        <v>450</v>
      </c>
      <c r="D982" s="664"/>
      <c r="E982" s="664"/>
      <c r="F982" s="665"/>
      <c r="G982" s="664"/>
      <c r="H982" s="664"/>
      <c r="I982" s="664"/>
      <c r="J982" s="727"/>
      <c r="K982" s="664"/>
      <c r="L982" s="666"/>
    </row>
    <row r="983" spans="1:12" hidden="1" outlineLevel="1" x14ac:dyDescent="0.35">
      <c r="A983" s="483"/>
      <c r="B983" s="762" t="s">
        <v>2002</v>
      </c>
      <c r="C983" s="664" t="s">
        <v>451</v>
      </c>
      <c r="D983" s="664"/>
      <c r="E983" s="664"/>
      <c r="F983" s="665"/>
      <c r="G983" s="664"/>
      <c r="H983" s="664"/>
      <c r="I983" s="664"/>
      <c r="J983" s="727"/>
      <c r="K983" s="664"/>
      <c r="L983" s="666"/>
    </row>
    <row r="984" spans="1:12" hidden="1" outlineLevel="1" x14ac:dyDescent="0.35">
      <c r="A984" s="483"/>
      <c r="B984" s="762" t="s">
        <v>2002</v>
      </c>
      <c r="C984" s="664" t="s">
        <v>452</v>
      </c>
      <c r="D984" s="664"/>
      <c r="E984" s="664"/>
      <c r="F984" s="665"/>
      <c r="G984" s="664"/>
      <c r="H984" s="664"/>
      <c r="I984" s="664"/>
      <c r="J984" s="727"/>
      <c r="K984" s="664"/>
      <c r="L984" s="666"/>
    </row>
    <row r="985" spans="1:12" hidden="1" outlineLevel="1" x14ac:dyDescent="0.35">
      <c r="A985" s="483"/>
      <c r="B985" s="762" t="s">
        <v>2002</v>
      </c>
      <c r="C985" s="664" t="s">
        <v>453</v>
      </c>
      <c r="D985" s="664"/>
      <c r="E985" s="664"/>
      <c r="F985" s="665"/>
      <c r="G985" s="664"/>
      <c r="H985" s="664"/>
      <c r="I985" s="664"/>
      <c r="J985" s="727"/>
      <c r="K985" s="664"/>
      <c r="L985" s="666"/>
    </row>
    <row r="986" spans="1:12" hidden="1" outlineLevel="1" x14ac:dyDescent="0.35">
      <c r="A986" s="483"/>
      <c r="B986" s="762" t="s">
        <v>2002</v>
      </c>
      <c r="C986" s="664" t="s">
        <v>454</v>
      </c>
      <c r="D986" s="664"/>
      <c r="E986" s="664"/>
      <c r="F986" s="665"/>
      <c r="G986" s="664"/>
      <c r="H986" s="664"/>
      <c r="I986" s="664"/>
      <c r="J986" s="727"/>
      <c r="K986" s="664"/>
      <c r="L986" s="666"/>
    </row>
    <row r="987" spans="1:12" hidden="1" outlineLevel="1" x14ac:dyDescent="0.35">
      <c r="A987" s="483"/>
      <c r="B987" s="762" t="s">
        <v>2002</v>
      </c>
      <c r="C987" s="664" t="s">
        <v>455</v>
      </c>
      <c r="D987" s="664"/>
      <c r="E987" s="664"/>
      <c r="F987" s="665"/>
      <c r="G987" s="664"/>
      <c r="H987" s="664"/>
      <c r="I987" s="664"/>
      <c r="J987" s="727"/>
      <c r="K987" s="664"/>
      <c r="L987" s="666"/>
    </row>
    <row r="988" spans="1:12" hidden="1" outlineLevel="1" x14ac:dyDescent="0.35">
      <c r="A988" s="483"/>
      <c r="B988" s="762" t="s">
        <v>2002</v>
      </c>
      <c r="C988" s="664" t="s">
        <v>456</v>
      </c>
      <c r="D988" s="664"/>
      <c r="E988" s="664"/>
      <c r="F988" s="665"/>
      <c r="G988" s="664"/>
      <c r="H988" s="664"/>
      <c r="I988" s="664"/>
      <c r="J988" s="727"/>
      <c r="K988" s="664"/>
      <c r="L988" s="666"/>
    </row>
    <row r="989" spans="1:12" hidden="1" outlineLevel="1" x14ac:dyDescent="0.35">
      <c r="A989" s="483"/>
      <c r="B989" s="762" t="s">
        <v>2002</v>
      </c>
      <c r="C989" s="664" t="s">
        <v>457</v>
      </c>
      <c r="D989" s="664"/>
      <c r="E989" s="664"/>
      <c r="F989" s="665"/>
      <c r="G989" s="664"/>
      <c r="H989" s="664"/>
      <c r="I989" s="664"/>
      <c r="J989" s="727"/>
      <c r="K989" s="664"/>
      <c r="L989" s="666"/>
    </row>
    <row r="990" spans="1:12" hidden="1" outlineLevel="1" x14ac:dyDescent="0.35">
      <c r="A990" s="483"/>
      <c r="B990" s="762" t="s">
        <v>2002</v>
      </c>
      <c r="C990" s="664" t="s">
        <v>458</v>
      </c>
      <c r="D990" s="664"/>
      <c r="E990" s="664"/>
      <c r="F990" s="665"/>
      <c r="G990" s="664"/>
      <c r="H990" s="664"/>
      <c r="I990" s="664"/>
      <c r="J990" s="727"/>
      <c r="K990" s="664"/>
      <c r="L990" s="666"/>
    </row>
    <row r="991" spans="1:12" hidden="1" outlineLevel="1" x14ac:dyDescent="0.35">
      <c r="A991" s="483"/>
      <c r="B991" s="762" t="s">
        <v>2002</v>
      </c>
      <c r="C991" s="664" t="s">
        <v>459</v>
      </c>
      <c r="D991" s="664"/>
      <c r="E991" s="664"/>
      <c r="F991" s="665"/>
      <c r="G991" s="664"/>
      <c r="H991" s="664"/>
      <c r="I991" s="664"/>
      <c r="J991" s="727"/>
      <c r="K991" s="664"/>
      <c r="L991" s="666"/>
    </row>
    <row r="992" spans="1:12" hidden="1" outlineLevel="1" x14ac:dyDescent="0.35">
      <c r="A992" s="483"/>
      <c r="B992" s="762" t="s">
        <v>2002</v>
      </c>
      <c r="C992" s="664" t="s">
        <v>460</v>
      </c>
      <c r="D992" s="664"/>
      <c r="E992" s="664"/>
      <c r="F992" s="665"/>
      <c r="G992" s="664"/>
      <c r="H992" s="664"/>
      <c r="I992" s="664"/>
      <c r="J992" s="727"/>
      <c r="K992" s="664"/>
      <c r="L992" s="666"/>
    </row>
    <row r="993" spans="1:12" hidden="1" outlineLevel="1" x14ac:dyDescent="0.35">
      <c r="A993" s="483"/>
      <c r="B993" s="762" t="s">
        <v>2002</v>
      </c>
      <c r="C993" s="664" t="s">
        <v>461</v>
      </c>
      <c r="D993" s="664"/>
      <c r="E993" s="664"/>
      <c r="F993" s="665"/>
      <c r="G993" s="664"/>
      <c r="H993" s="664"/>
      <c r="I993" s="664"/>
      <c r="J993" s="727"/>
      <c r="K993" s="664"/>
      <c r="L993" s="666"/>
    </row>
    <row r="994" spans="1:12" hidden="1" outlineLevel="1" x14ac:dyDescent="0.35">
      <c r="A994" s="483"/>
      <c r="B994" s="762" t="s">
        <v>2002</v>
      </c>
      <c r="C994" s="664" t="s">
        <v>462</v>
      </c>
      <c r="D994" s="664"/>
      <c r="E994" s="664"/>
      <c r="F994" s="665"/>
      <c r="G994" s="664"/>
      <c r="H994" s="664"/>
      <c r="I994" s="664"/>
      <c r="J994" s="727"/>
      <c r="K994" s="664"/>
      <c r="L994" s="666"/>
    </row>
    <row r="995" spans="1:12" hidden="1" outlineLevel="1" x14ac:dyDescent="0.35">
      <c r="A995" s="483"/>
      <c r="B995" s="762" t="s">
        <v>2002</v>
      </c>
      <c r="C995" s="664" t="s">
        <v>463</v>
      </c>
      <c r="D995" s="664"/>
      <c r="E995" s="664"/>
      <c r="F995" s="665"/>
      <c r="G995" s="664"/>
      <c r="H995" s="664"/>
      <c r="I995" s="664"/>
      <c r="J995" s="727"/>
      <c r="K995" s="664"/>
      <c r="L995" s="666"/>
    </row>
    <row r="996" spans="1:12" hidden="1" outlineLevel="1" x14ac:dyDescent="0.35">
      <c r="A996" s="483"/>
      <c r="B996" s="762" t="s">
        <v>2002</v>
      </c>
      <c r="C996" s="664" t="s">
        <v>464</v>
      </c>
      <c r="D996" s="664"/>
      <c r="E996" s="664"/>
      <c r="F996" s="665"/>
      <c r="G996" s="664"/>
      <c r="H996" s="664"/>
      <c r="I996" s="664"/>
      <c r="J996" s="727"/>
      <c r="K996" s="664"/>
      <c r="L996" s="666"/>
    </row>
    <row r="997" spans="1:12" hidden="1" outlineLevel="1" x14ac:dyDescent="0.35">
      <c r="A997" s="483"/>
      <c r="B997" s="762" t="s">
        <v>2002</v>
      </c>
      <c r="C997" s="664" t="s">
        <v>465</v>
      </c>
      <c r="D997" s="664"/>
      <c r="E997" s="664"/>
      <c r="F997" s="665"/>
      <c r="G997" s="664"/>
      <c r="H997" s="664"/>
      <c r="I997" s="664"/>
      <c r="J997" s="727"/>
      <c r="K997" s="664"/>
      <c r="L997" s="666"/>
    </row>
    <row r="998" spans="1:12" hidden="1" outlineLevel="1" x14ac:dyDescent="0.35">
      <c r="A998" s="483"/>
      <c r="B998" s="762" t="s">
        <v>2002</v>
      </c>
      <c r="C998" s="664" t="s">
        <v>466</v>
      </c>
      <c r="D998" s="664"/>
      <c r="E998" s="664"/>
      <c r="F998" s="665"/>
      <c r="G998" s="664"/>
      <c r="H998" s="664"/>
      <c r="I998" s="664"/>
      <c r="J998" s="727"/>
      <c r="K998" s="664"/>
      <c r="L998" s="666"/>
    </row>
    <row r="999" spans="1:12" hidden="1" outlineLevel="1" x14ac:dyDescent="0.35">
      <c r="A999" s="483"/>
      <c r="B999" s="762" t="s">
        <v>2002</v>
      </c>
      <c r="C999" s="664" t="s">
        <v>467</v>
      </c>
      <c r="D999" s="664"/>
      <c r="E999" s="664"/>
      <c r="F999" s="665"/>
      <c r="G999" s="664"/>
      <c r="H999" s="664"/>
      <c r="I999" s="664"/>
      <c r="J999" s="727"/>
      <c r="K999" s="664"/>
      <c r="L999" s="666"/>
    </row>
    <row r="1000" spans="1:12" hidden="1" outlineLevel="1" x14ac:dyDescent="0.35">
      <c r="A1000" s="483"/>
      <c r="B1000" s="762" t="s">
        <v>2002</v>
      </c>
      <c r="C1000" s="664" t="s">
        <v>468</v>
      </c>
      <c r="D1000" s="664"/>
      <c r="E1000" s="664"/>
      <c r="F1000" s="665"/>
      <c r="G1000" s="664"/>
      <c r="H1000" s="664"/>
      <c r="I1000" s="664"/>
      <c r="J1000" s="727"/>
      <c r="K1000" s="664"/>
      <c r="L1000" s="666"/>
    </row>
    <row r="1001" spans="1:12" hidden="1" outlineLevel="1" x14ac:dyDescent="0.35">
      <c r="A1001" s="483"/>
      <c r="B1001" s="762" t="s">
        <v>2002</v>
      </c>
      <c r="C1001" s="664" t="s">
        <v>469</v>
      </c>
      <c r="D1001" s="664"/>
      <c r="E1001" s="664"/>
      <c r="F1001" s="665"/>
      <c r="G1001" s="664"/>
      <c r="H1001" s="664"/>
      <c r="I1001" s="664"/>
      <c r="J1001" s="727"/>
      <c r="K1001" s="664"/>
      <c r="L1001" s="666"/>
    </row>
    <row r="1002" spans="1:12" hidden="1" outlineLevel="1" x14ac:dyDescent="0.35">
      <c r="A1002" s="483"/>
      <c r="B1002" s="762" t="s">
        <v>2002</v>
      </c>
      <c r="C1002" s="664" t="s">
        <v>470</v>
      </c>
      <c r="D1002" s="664"/>
      <c r="E1002" s="664"/>
      <c r="F1002" s="665"/>
      <c r="G1002" s="664"/>
      <c r="H1002" s="664"/>
      <c r="I1002" s="664"/>
      <c r="J1002" s="727"/>
      <c r="K1002" s="664"/>
      <c r="L1002" s="666"/>
    </row>
    <row r="1003" spans="1:12" hidden="1" outlineLevel="1" x14ac:dyDescent="0.35">
      <c r="A1003" s="483"/>
      <c r="B1003" s="762" t="s">
        <v>2002</v>
      </c>
      <c r="C1003" s="664" t="s">
        <v>471</v>
      </c>
      <c r="D1003" s="664"/>
      <c r="E1003" s="664"/>
      <c r="F1003" s="665"/>
      <c r="G1003" s="664"/>
      <c r="H1003" s="664"/>
      <c r="I1003" s="664"/>
      <c r="J1003" s="727"/>
      <c r="K1003" s="664"/>
      <c r="L1003" s="666"/>
    </row>
    <row r="1004" spans="1:12" hidden="1" outlineLevel="1" x14ac:dyDescent="0.35">
      <c r="A1004" s="483"/>
      <c r="B1004" s="762" t="s">
        <v>2002</v>
      </c>
      <c r="C1004" s="664" t="s">
        <v>472</v>
      </c>
      <c r="D1004" s="664"/>
      <c r="E1004" s="664"/>
      <c r="F1004" s="665"/>
      <c r="G1004" s="664"/>
      <c r="H1004" s="664"/>
      <c r="I1004" s="664"/>
      <c r="J1004" s="727"/>
      <c r="K1004" s="664"/>
      <c r="L1004" s="666"/>
    </row>
    <row r="1005" spans="1:12" hidden="1" outlineLevel="1" x14ac:dyDescent="0.35">
      <c r="A1005" s="483"/>
      <c r="B1005" s="762" t="s">
        <v>2002</v>
      </c>
      <c r="C1005" s="664" t="s">
        <v>473</v>
      </c>
      <c r="D1005" s="664"/>
      <c r="E1005" s="664"/>
      <c r="F1005" s="665"/>
      <c r="G1005" s="664"/>
      <c r="H1005" s="664"/>
      <c r="I1005" s="664"/>
      <c r="J1005" s="727"/>
      <c r="K1005" s="664"/>
      <c r="L1005" s="666"/>
    </row>
    <row r="1006" spans="1:12" hidden="1" outlineLevel="1" x14ac:dyDescent="0.35">
      <c r="A1006" s="483"/>
      <c r="B1006" s="762" t="s">
        <v>2002</v>
      </c>
      <c r="C1006" s="664" t="s">
        <v>474</v>
      </c>
      <c r="D1006" s="664"/>
      <c r="E1006" s="664"/>
      <c r="F1006" s="665"/>
      <c r="G1006" s="664"/>
      <c r="H1006" s="664"/>
      <c r="I1006" s="664"/>
      <c r="J1006" s="727"/>
      <c r="K1006" s="664"/>
      <c r="L1006" s="666"/>
    </row>
    <row r="1007" spans="1:12" hidden="1" outlineLevel="1" x14ac:dyDescent="0.35">
      <c r="A1007" s="483"/>
      <c r="B1007" s="762" t="s">
        <v>2002</v>
      </c>
      <c r="C1007" s="664" t="s">
        <v>475</v>
      </c>
      <c r="D1007" s="664"/>
      <c r="E1007" s="664"/>
      <c r="F1007" s="665"/>
      <c r="G1007" s="664"/>
      <c r="H1007" s="664"/>
      <c r="I1007" s="664"/>
      <c r="J1007" s="727"/>
      <c r="K1007" s="664"/>
      <c r="L1007" s="666"/>
    </row>
    <row r="1008" spans="1:12" hidden="1" outlineLevel="1" x14ac:dyDescent="0.35">
      <c r="A1008" s="483"/>
      <c r="B1008" s="762" t="s">
        <v>2002</v>
      </c>
      <c r="C1008" s="664" t="s">
        <v>476</v>
      </c>
      <c r="D1008" s="664"/>
      <c r="E1008" s="664"/>
      <c r="F1008" s="665"/>
      <c r="G1008" s="664"/>
      <c r="H1008" s="664"/>
      <c r="I1008" s="664"/>
      <c r="J1008" s="727"/>
      <c r="K1008" s="664"/>
      <c r="L1008" s="666"/>
    </row>
    <row r="1009" spans="1:12" hidden="1" outlineLevel="1" x14ac:dyDescent="0.35">
      <c r="A1009" s="483"/>
      <c r="B1009" s="762" t="s">
        <v>2002</v>
      </c>
      <c r="C1009" s="664" t="s">
        <v>477</v>
      </c>
      <c r="D1009" s="664"/>
      <c r="E1009" s="664"/>
      <c r="F1009" s="665"/>
      <c r="G1009" s="664"/>
      <c r="H1009" s="664"/>
      <c r="I1009" s="664"/>
      <c r="J1009" s="727"/>
      <c r="K1009" s="664"/>
      <c r="L1009" s="666"/>
    </row>
    <row r="1010" spans="1:12" hidden="1" outlineLevel="1" x14ac:dyDescent="0.35">
      <c r="A1010" s="483"/>
      <c r="B1010" s="762" t="s">
        <v>2002</v>
      </c>
      <c r="C1010" s="664" t="s">
        <v>478</v>
      </c>
      <c r="D1010" s="664"/>
      <c r="E1010" s="664"/>
      <c r="F1010" s="665"/>
      <c r="G1010" s="664"/>
      <c r="H1010" s="664"/>
      <c r="I1010" s="664"/>
      <c r="J1010" s="727"/>
      <c r="K1010" s="664"/>
      <c r="L1010" s="666"/>
    </row>
    <row r="1011" spans="1:12" hidden="1" outlineLevel="1" x14ac:dyDescent="0.35">
      <c r="A1011" s="483"/>
      <c r="B1011" s="762" t="s">
        <v>2002</v>
      </c>
      <c r="C1011" s="664" t="s">
        <v>479</v>
      </c>
      <c r="D1011" s="664"/>
      <c r="E1011" s="664"/>
      <c r="F1011" s="665"/>
      <c r="G1011" s="664"/>
      <c r="H1011" s="664"/>
      <c r="I1011" s="664"/>
      <c r="J1011" s="727"/>
      <c r="K1011" s="664"/>
      <c r="L1011" s="666"/>
    </row>
    <row r="1012" spans="1:12" hidden="1" outlineLevel="1" x14ac:dyDescent="0.35">
      <c r="A1012" s="483"/>
      <c r="B1012" s="762" t="s">
        <v>2002</v>
      </c>
      <c r="C1012" s="664" t="s">
        <v>480</v>
      </c>
      <c r="D1012" s="664"/>
      <c r="E1012" s="664"/>
      <c r="F1012" s="665"/>
      <c r="G1012" s="664"/>
      <c r="H1012" s="664"/>
      <c r="I1012" s="664"/>
      <c r="J1012" s="727"/>
      <c r="K1012" s="664"/>
      <c r="L1012" s="666"/>
    </row>
    <row r="1013" spans="1:12" hidden="1" outlineLevel="1" x14ac:dyDescent="0.35">
      <c r="A1013" s="483"/>
      <c r="B1013" s="762" t="s">
        <v>2002</v>
      </c>
      <c r="C1013" s="664" t="s">
        <v>481</v>
      </c>
      <c r="D1013" s="664"/>
      <c r="E1013" s="664"/>
      <c r="F1013" s="665"/>
      <c r="G1013" s="664"/>
      <c r="H1013" s="664"/>
      <c r="I1013" s="664"/>
      <c r="J1013" s="727"/>
      <c r="K1013" s="664"/>
      <c r="L1013" s="666"/>
    </row>
    <row r="1014" spans="1:12" hidden="1" outlineLevel="1" x14ac:dyDescent="0.35">
      <c r="A1014" s="483"/>
      <c r="B1014" s="762" t="s">
        <v>2002</v>
      </c>
      <c r="C1014" s="664" t="s">
        <v>482</v>
      </c>
      <c r="D1014" s="664"/>
      <c r="E1014" s="664"/>
      <c r="F1014" s="665"/>
      <c r="G1014" s="664"/>
      <c r="H1014" s="664"/>
      <c r="I1014" s="664"/>
      <c r="J1014" s="727"/>
      <c r="K1014" s="664"/>
      <c r="L1014" s="666"/>
    </row>
    <row r="1015" spans="1:12" hidden="1" outlineLevel="1" x14ac:dyDescent="0.35">
      <c r="A1015" s="483"/>
      <c r="B1015" s="762" t="s">
        <v>2002</v>
      </c>
      <c r="C1015" s="664" t="s">
        <v>483</v>
      </c>
      <c r="D1015" s="664"/>
      <c r="E1015" s="664"/>
      <c r="F1015" s="665"/>
      <c r="G1015" s="664"/>
      <c r="H1015" s="664"/>
      <c r="I1015" s="664"/>
      <c r="J1015" s="727"/>
      <c r="K1015" s="664"/>
      <c r="L1015" s="666"/>
    </row>
    <row r="1016" spans="1:12" hidden="1" outlineLevel="1" x14ac:dyDescent="0.35">
      <c r="A1016" s="483"/>
      <c r="B1016" s="762" t="s">
        <v>2002</v>
      </c>
      <c r="C1016" s="664" t="s">
        <v>484</v>
      </c>
      <c r="D1016" s="664"/>
      <c r="E1016" s="664"/>
      <c r="F1016" s="665"/>
      <c r="G1016" s="664"/>
      <c r="H1016" s="664"/>
      <c r="I1016" s="664"/>
      <c r="J1016" s="727"/>
      <c r="K1016" s="664"/>
      <c r="L1016" s="666"/>
    </row>
    <row r="1017" spans="1:12" hidden="1" outlineLevel="1" x14ac:dyDescent="0.35">
      <c r="A1017" s="483"/>
      <c r="B1017" s="762" t="s">
        <v>2002</v>
      </c>
      <c r="C1017" s="664" t="s">
        <v>485</v>
      </c>
      <c r="D1017" s="664"/>
      <c r="E1017" s="664"/>
      <c r="F1017" s="665"/>
      <c r="G1017" s="664"/>
      <c r="H1017" s="664"/>
      <c r="I1017" s="664"/>
      <c r="J1017" s="727"/>
      <c r="K1017" s="664"/>
      <c r="L1017" s="666"/>
    </row>
    <row r="1018" spans="1:12" hidden="1" outlineLevel="1" x14ac:dyDescent="0.35">
      <c r="A1018" s="483"/>
      <c r="B1018" s="762" t="s">
        <v>2002</v>
      </c>
      <c r="C1018" s="664" t="s">
        <v>486</v>
      </c>
      <c r="D1018" s="664"/>
      <c r="E1018" s="664"/>
      <c r="F1018" s="665"/>
      <c r="G1018" s="664"/>
      <c r="H1018" s="664"/>
      <c r="I1018" s="664"/>
      <c r="J1018" s="727"/>
      <c r="K1018" s="664"/>
      <c r="L1018" s="666"/>
    </row>
    <row r="1019" spans="1:12" hidden="1" outlineLevel="1" x14ac:dyDescent="0.35">
      <c r="A1019" s="483"/>
      <c r="B1019" s="762" t="s">
        <v>2002</v>
      </c>
      <c r="C1019" s="664" t="s">
        <v>487</v>
      </c>
      <c r="D1019" s="664"/>
      <c r="E1019" s="664"/>
      <c r="F1019" s="665"/>
      <c r="G1019" s="664"/>
      <c r="H1019" s="664"/>
      <c r="I1019" s="664"/>
      <c r="J1019" s="727"/>
      <c r="K1019" s="664"/>
      <c r="L1019" s="666"/>
    </row>
    <row r="1020" spans="1:12" hidden="1" outlineLevel="1" x14ac:dyDescent="0.35">
      <c r="A1020" s="483"/>
      <c r="B1020" s="762" t="s">
        <v>2002</v>
      </c>
      <c r="C1020" s="664" t="s">
        <v>488</v>
      </c>
      <c r="D1020" s="664"/>
      <c r="E1020" s="664"/>
      <c r="F1020" s="665"/>
      <c r="G1020" s="664"/>
      <c r="H1020" s="664"/>
      <c r="I1020" s="664"/>
      <c r="J1020" s="727"/>
      <c r="K1020" s="664"/>
      <c r="L1020" s="666"/>
    </row>
    <row r="1021" spans="1:12" hidden="1" outlineLevel="1" x14ac:dyDescent="0.35">
      <c r="A1021" s="483"/>
      <c r="B1021" s="762" t="s">
        <v>2002</v>
      </c>
      <c r="C1021" s="664" t="s">
        <v>489</v>
      </c>
      <c r="D1021" s="664"/>
      <c r="E1021" s="664"/>
      <c r="F1021" s="665"/>
      <c r="G1021" s="664"/>
      <c r="H1021" s="664"/>
      <c r="I1021" s="664"/>
      <c r="J1021" s="727"/>
      <c r="K1021" s="664"/>
      <c r="L1021" s="666"/>
    </row>
    <row r="1022" spans="1:12" hidden="1" outlineLevel="1" x14ac:dyDescent="0.35">
      <c r="A1022" s="483"/>
      <c r="B1022" s="762" t="s">
        <v>2002</v>
      </c>
      <c r="C1022" s="664" t="s">
        <v>490</v>
      </c>
      <c r="D1022" s="664"/>
      <c r="E1022" s="664"/>
      <c r="F1022" s="665"/>
      <c r="G1022" s="664"/>
      <c r="H1022" s="664"/>
      <c r="I1022" s="664"/>
      <c r="J1022" s="727"/>
      <c r="K1022" s="664"/>
      <c r="L1022" s="666"/>
    </row>
    <row r="1023" spans="1:12" hidden="1" outlineLevel="1" x14ac:dyDescent="0.35">
      <c r="A1023" s="483"/>
      <c r="B1023" s="762" t="s">
        <v>2002</v>
      </c>
      <c r="C1023" s="664" t="s">
        <v>491</v>
      </c>
      <c r="D1023" s="664"/>
      <c r="E1023" s="664"/>
      <c r="F1023" s="665"/>
      <c r="G1023" s="664"/>
      <c r="H1023" s="664"/>
      <c r="I1023" s="664"/>
      <c r="J1023" s="727"/>
      <c r="K1023" s="664"/>
      <c r="L1023" s="666"/>
    </row>
    <row r="1024" spans="1:12" ht="15" hidden="1" outlineLevel="1" thickBot="1" x14ac:dyDescent="0.4">
      <c r="A1024" s="483"/>
      <c r="B1024" s="761"/>
      <c r="C1024" s="670"/>
      <c r="D1024" s="670"/>
      <c r="E1024" s="670"/>
      <c r="F1024" s="671"/>
      <c r="G1024" s="670"/>
      <c r="H1024" s="670"/>
      <c r="I1024" s="670"/>
      <c r="J1024" s="728"/>
      <c r="K1024" s="670"/>
      <c r="L1024" s="711"/>
    </row>
    <row r="1025" spans="1:19" ht="15.5" collapsed="1" thickTop="1" thickBot="1" x14ac:dyDescent="0.4">
      <c r="B1025" s="2"/>
    </row>
    <row r="1026" spans="1:19" ht="23" thickBot="1" x14ac:dyDescent="0.4">
      <c r="B1026" s="524"/>
      <c r="C1026" s="525" t="s">
        <v>582</v>
      </c>
      <c r="D1026" s="525"/>
      <c r="E1026" s="525"/>
      <c r="F1026" s="525"/>
      <c r="G1026" s="525"/>
      <c r="H1026" s="525"/>
      <c r="I1026" s="525"/>
      <c r="J1026" s="525"/>
      <c r="K1026" s="527"/>
      <c r="L1026" s="526"/>
    </row>
    <row r="1027" spans="1:19" s="2" customFormat="1" ht="15.5" hidden="1" outlineLevel="1" thickTop="1" thickBot="1" x14ac:dyDescent="0.4">
      <c r="B1027" s="721"/>
      <c r="C1027" s="719" t="s">
        <v>0</v>
      </c>
      <c r="D1027" s="719"/>
      <c r="E1027" s="719"/>
      <c r="F1027" s="719"/>
      <c r="G1027" s="719"/>
      <c r="H1027" s="719"/>
      <c r="I1027" s="719"/>
      <c r="J1027" s="719"/>
      <c r="K1027" s="719"/>
      <c r="L1027" s="720"/>
      <c r="M1027" s="385"/>
      <c r="S1027" s="783"/>
    </row>
    <row r="1028" spans="1:19" ht="15" hidden="1" outlineLevel="1" thickTop="1" x14ac:dyDescent="0.35">
      <c r="A1028" s="483"/>
      <c r="B1028" s="759" t="s">
        <v>1022</v>
      </c>
      <c r="C1028" s="757" t="s">
        <v>583</v>
      </c>
      <c r="D1028" s="664"/>
      <c r="E1028" s="664"/>
      <c r="F1028" s="665"/>
      <c r="G1028" s="664"/>
      <c r="H1028" s="664"/>
      <c r="I1028" s="664"/>
      <c r="J1028" s="727"/>
      <c r="K1028" s="664"/>
      <c r="L1028" s="666"/>
    </row>
    <row r="1029" spans="1:19" hidden="1" outlineLevel="1" x14ac:dyDescent="0.35">
      <c r="A1029" s="483"/>
      <c r="B1029" s="762" t="s">
        <v>1022</v>
      </c>
      <c r="C1029" s="664" t="s">
        <v>584</v>
      </c>
      <c r="D1029" s="664"/>
      <c r="E1029" s="664"/>
      <c r="F1029" s="665"/>
      <c r="G1029" s="664"/>
      <c r="H1029" s="664"/>
      <c r="I1029" s="664"/>
      <c r="J1029" s="727"/>
      <c r="K1029" s="664"/>
      <c r="L1029" s="666"/>
    </row>
    <row r="1030" spans="1:19" hidden="1" outlineLevel="1" x14ac:dyDescent="0.35">
      <c r="A1030" s="483"/>
      <c r="B1030" s="762" t="s">
        <v>1022</v>
      </c>
      <c r="C1030" s="664" t="s">
        <v>585</v>
      </c>
      <c r="D1030" s="664"/>
      <c r="E1030" s="664"/>
      <c r="F1030" s="665"/>
      <c r="G1030" s="664"/>
      <c r="H1030" s="664"/>
      <c r="I1030" s="664"/>
      <c r="J1030" s="727"/>
      <c r="K1030" s="664"/>
      <c r="L1030" s="666"/>
    </row>
    <row r="1031" spans="1:19" hidden="1" outlineLevel="1" x14ac:dyDescent="0.35">
      <c r="A1031" s="483"/>
      <c r="B1031" s="762" t="s">
        <v>1022</v>
      </c>
      <c r="C1031" s="664" t="s">
        <v>586</v>
      </c>
      <c r="D1031" s="664"/>
      <c r="E1031" s="664"/>
      <c r="F1031" s="665"/>
      <c r="G1031" s="664"/>
      <c r="H1031" s="664"/>
      <c r="I1031" s="664"/>
      <c r="J1031" s="727"/>
      <c r="K1031" s="664"/>
      <c r="L1031" s="666"/>
    </row>
    <row r="1032" spans="1:19" hidden="1" outlineLevel="1" x14ac:dyDescent="0.35">
      <c r="A1032" s="483"/>
      <c r="B1032" s="762" t="s">
        <v>1022</v>
      </c>
      <c r="C1032" s="664" t="s">
        <v>587</v>
      </c>
      <c r="D1032" s="664"/>
      <c r="E1032" s="664"/>
      <c r="F1032" s="665"/>
      <c r="G1032" s="664"/>
      <c r="H1032" s="664"/>
      <c r="I1032" s="664"/>
      <c r="J1032" s="727"/>
      <c r="K1032" s="664"/>
      <c r="L1032" s="666"/>
    </row>
    <row r="1033" spans="1:19" hidden="1" outlineLevel="1" x14ac:dyDescent="0.35">
      <c r="A1033" s="483"/>
      <c r="B1033" s="762" t="s">
        <v>1022</v>
      </c>
      <c r="C1033" s="664" t="s">
        <v>588</v>
      </c>
      <c r="D1033" s="664"/>
      <c r="E1033" s="664"/>
      <c r="F1033" s="665"/>
      <c r="G1033" s="664"/>
      <c r="H1033" s="664"/>
      <c r="I1033" s="664"/>
      <c r="J1033" s="727"/>
      <c r="K1033" s="664"/>
      <c r="L1033" s="666"/>
    </row>
    <row r="1034" spans="1:19" hidden="1" outlineLevel="1" x14ac:dyDescent="0.35">
      <c r="A1034" s="483"/>
      <c r="B1034" s="762" t="s">
        <v>1022</v>
      </c>
      <c r="C1034" s="664" t="s">
        <v>589</v>
      </c>
      <c r="D1034" s="664"/>
      <c r="E1034" s="664"/>
      <c r="F1034" s="665"/>
      <c r="G1034" s="664"/>
      <c r="H1034" s="664"/>
      <c r="I1034" s="664"/>
      <c r="J1034" s="727"/>
      <c r="K1034" s="664"/>
      <c r="L1034" s="666"/>
    </row>
    <row r="1035" spans="1:19" hidden="1" outlineLevel="1" x14ac:dyDescent="0.35">
      <c r="A1035" s="483"/>
      <c r="B1035" s="762" t="s">
        <v>1022</v>
      </c>
      <c r="C1035" s="664" t="s">
        <v>590</v>
      </c>
      <c r="D1035" s="664"/>
      <c r="E1035" s="664"/>
      <c r="F1035" s="665"/>
      <c r="G1035" s="664"/>
      <c r="H1035" s="664"/>
      <c r="I1035" s="664"/>
      <c r="J1035" s="727"/>
      <c r="K1035" s="664"/>
      <c r="L1035" s="666"/>
    </row>
    <row r="1036" spans="1:19" hidden="1" outlineLevel="1" x14ac:dyDescent="0.35">
      <c r="A1036" s="483"/>
      <c r="B1036" s="762" t="s">
        <v>1022</v>
      </c>
      <c r="C1036" s="664" t="s">
        <v>591</v>
      </c>
      <c r="D1036" s="664"/>
      <c r="E1036" s="664"/>
      <c r="F1036" s="665"/>
      <c r="G1036" s="664"/>
      <c r="H1036" s="664"/>
      <c r="I1036" s="664"/>
      <c r="J1036" s="727"/>
      <c r="K1036" s="664"/>
      <c r="L1036" s="666"/>
    </row>
    <row r="1037" spans="1:19" ht="15" hidden="1" outlineLevel="1" thickBot="1" x14ac:dyDescent="0.4">
      <c r="A1037" s="483"/>
      <c r="B1037" s="761"/>
      <c r="C1037" s="670"/>
      <c r="D1037" s="670"/>
      <c r="E1037" s="670"/>
      <c r="F1037" s="671"/>
      <c r="G1037" s="670"/>
      <c r="H1037" s="670"/>
      <c r="I1037" s="670"/>
      <c r="J1037" s="728"/>
      <c r="K1037" s="670"/>
      <c r="L1037" s="711"/>
    </row>
    <row r="1038" spans="1:19" ht="15.5" collapsed="1" thickTop="1" thickBot="1" x14ac:dyDescent="0.4">
      <c r="B1038" s="2"/>
    </row>
    <row r="1039" spans="1:19" ht="23" thickBot="1" x14ac:dyDescent="0.4">
      <c r="B1039" s="524"/>
      <c r="C1039" s="525" t="s">
        <v>592</v>
      </c>
      <c r="D1039" s="525"/>
      <c r="E1039" s="525"/>
      <c r="F1039" s="525"/>
      <c r="G1039" s="525"/>
      <c r="H1039" s="525"/>
      <c r="I1039" s="525"/>
      <c r="J1039" s="525"/>
      <c r="K1039" s="527"/>
      <c r="L1039" s="526"/>
    </row>
    <row r="1040" spans="1:19" s="2" customFormat="1" ht="15.5" hidden="1" outlineLevel="1" thickTop="1" thickBot="1" x14ac:dyDescent="0.4">
      <c r="B1040" s="721"/>
      <c r="C1040" s="719" t="s">
        <v>0</v>
      </c>
      <c r="D1040" s="719"/>
      <c r="E1040" s="719"/>
      <c r="F1040" s="719"/>
      <c r="G1040" s="719"/>
      <c r="H1040" s="719"/>
      <c r="I1040" s="719"/>
      <c r="J1040" s="719"/>
      <c r="K1040" s="719"/>
      <c r="L1040" s="720"/>
      <c r="M1040" s="385"/>
      <c r="S1040" s="783"/>
    </row>
    <row r="1041" spans="1:19" ht="15" hidden="1" outlineLevel="1" thickTop="1" x14ac:dyDescent="0.35">
      <c r="A1041" s="483"/>
      <c r="B1041" s="759" t="s">
        <v>2003</v>
      </c>
      <c r="C1041" s="757" t="s">
        <v>593</v>
      </c>
      <c r="D1041" s="664"/>
      <c r="E1041" s="664"/>
      <c r="F1041" s="665"/>
      <c r="G1041" s="664"/>
      <c r="H1041" s="664"/>
      <c r="I1041" s="664"/>
      <c r="J1041" s="727"/>
      <c r="K1041" s="664"/>
      <c r="L1041" s="666"/>
    </row>
    <row r="1042" spans="1:19" hidden="1" outlineLevel="1" x14ac:dyDescent="0.35">
      <c r="A1042" s="483"/>
      <c r="B1042" s="762" t="s">
        <v>2003</v>
      </c>
      <c r="C1042" s="664" t="s">
        <v>594</v>
      </c>
      <c r="D1042" s="664"/>
      <c r="E1042" s="664"/>
      <c r="F1042" s="665"/>
      <c r="G1042" s="664"/>
      <c r="H1042" s="664"/>
      <c r="I1042" s="664"/>
      <c r="J1042" s="727"/>
      <c r="K1042" s="664"/>
      <c r="L1042" s="666"/>
    </row>
    <row r="1043" spans="1:19" hidden="1" outlineLevel="1" x14ac:dyDescent="0.35">
      <c r="A1043" s="483"/>
      <c r="B1043" s="762" t="s">
        <v>2003</v>
      </c>
      <c r="C1043" s="664" t="s">
        <v>595</v>
      </c>
      <c r="D1043" s="664"/>
      <c r="E1043" s="664"/>
      <c r="F1043" s="665"/>
      <c r="G1043" s="664"/>
      <c r="H1043" s="664"/>
      <c r="I1043" s="664"/>
      <c r="J1043" s="727"/>
      <c r="K1043" s="664"/>
      <c r="L1043" s="666"/>
    </row>
    <row r="1044" spans="1:19" ht="15" hidden="1" outlineLevel="1" thickBot="1" x14ac:dyDescent="0.4">
      <c r="A1044" s="483"/>
      <c r="B1044" s="761"/>
      <c r="C1044" s="670"/>
      <c r="D1044" s="670"/>
      <c r="E1044" s="670"/>
      <c r="F1044" s="671"/>
      <c r="G1044" s="670"/>
      <c r="H1044" s="670"/>
      <c r="I1044" s="670"/>
      <c r="J1044" s="728"/>
      <c r="K1044" s="670"/>
      <c r="L1044" s="711"/>
    </row>
    <row r="1045" spans="1:19" ht="15.5" collapsed="1" thickTop="1" thickBot="1" x14ac:dyDescent="0.4">
      <c r="B1045" s="2"/>
    </row>
    <row r="1046" spans="1:19" ht="23" thickBot="1" x14ac:dyDescent="0.4">
      <c r="B1046" s="524"/>
      <c r="C1046" s="525" t="s">
        <v>596</v>
      </c>
      <c r="D1046" s="525"/>
      <c r="E1046" s="525"/>
      <c r="F1046" s="525"/>
      <c r="G1046" s="525"/>
      <c r="H1046" s="525"/>
      <c r="I1046" s="525"/>
      <c r="J1046" s="525"/>
      <c r="K1046" s="527"/>
      <c r="L1046" s="526"/>
    </row>
    <row r="1047" spans="1:19" s="2" customFormat="1" ht="15.5" hidden="1" outlineLevel="1" thickTop="1" thickBot="1" x14ac:dyDescent="0.4">
      <c r="B1047" s="721"/>
      <c r="C1047" s="719" t="s">
        <v>0</v>
      </c>
      <c r="D1047" s="719"/>
      <c r="E1047" s="719"/>
      <c r="F1047" s="719"/>
      <c r="G1047" s="719"/>
      <c r="H1047" s="719"/>
      <c r="I1047" s="719"/>
      <c r="J1047" s="719"/>
      <c r="K1047" s="719"/>
      <c r="L1047" s="720"/>
      <c r="M1047" s="385"/>
      <c r="S1047" s="783"/>
    </row>
    <row r="1048" spans="1:19" ht="15" hidden="1" outlineLevel="1" thickTop="1" x14ac:dyDescent="0.35">
      <c r="A1048" s="483"/>
      <c r="B1048" s="759" t="s">
        <v>2004</v>
      </c>
      <c r="C1048" s="757" t="s">
        <v>597</v>
      </c>
      <c r="D1048" s="664"/>
      <c r="E1048" s="664"/>
      <c r="F1048" s="665"/>
      <c r="G1048" s="664"/>
      <c r="H1048" s="664"/>
      <c r="I1048" s="664"/>
      <c r="J1048" s="727"/>
      <c r="K1048" s="664"/>
      <c r="L1048" s="666"/>
    </row>
    <row r="1049" spans="1:19" hidden="1" outlineLevel="1" x14ac:dyDescent="0.35">
      <c r="A1049" s="483"/>
      <c r="B1049" s="762" t="s">
        <v>2004</v>
      </c>
      <c r="C1049" s="664" t="s">
        <v>598</v>
      </c>
      <c r="D1049" s="664"/>
      <c r="E1049" s="664"/>
      <c r="F1049" s="665"/>
      <c r="G1049" s="664"/>
      <c r="H1049" s="664"/>
      <c r="I1049" s="664"/>
      <c r="J1049" s="727"/>
      <c r="K1049" s="664"/>
      <c r="L1049" s="666"/>
    </row>
    <row r="1050" spans="1:19" hidden="1" outlineLevel="1" x14ac:dyDescent="0.35">
      <c r="A1050" s="483"/>
      <c r="B1050" s="762" t="s">
        <v>2004</v>
      </c>
      <c r="C1050" s="664" t="s">
        <v>599</v>
      </c>
      <c r="D1050" s="664"/>
      <c r="E1050" s="664"/>
      <c r="F1050" s="665"/>
      <c r="G1050" s="664"/>
      <c r="H1050" s="664"/>
      <c r="I1050" s="664"/>
      <c r="J1050" s="727"/>
      <c r="K1050" s="664"/>
      <c r="L1050" s="666"/>
    </row>
    <row r="1051" spans="1:19" hidden="1" outlineLevel="1" x14ac:dyDescent="0.35">
      <c r="A1051" s="483"/>
      <c r="B1051" s="762" t="s">
        <v>2004</v>
      </c>
      <c r="C1051" s="664" t="s">
        <v>600</v>
      </c>
      <c r="D1051" s="664"/>
      <c r="E1051" s="664"/>
      <c r="F1051" s="665"/>
      <c r="G1051" s="664"/>
      <c r="H1051" s="664"/>
      <c r="I1051" s="664"/>
      <c r="J1051" s="727"/>
      <c r="K1051" s="664"/>
      <c r="L1051" s="666"/>
    </row>
    <row r="1052" spans="1:19" hidden="1" outlineLevel="1" x14ac:dyDescent="0.35">
      <c r="A1052" s="483"/>
      <c r="B1052" s="762" t="s">
        <v>2004</v>
      </c>
      <c r="C1052" s="664" t="s">
        <v>601</v>
      </c>
      <c r="D1052" s="664"/>
      <c r="E1052" s="664"/>
      <c r="F1052" s="665"/>
      <c r="G1052" s="664"/>
      <c r="H1052" s="664"/>
      <c r="I1052" s="664"/>
      <c r="J1052" s="727"/>
      <c r="K1052" s="664"/>
      <c r="L1052" s="666"/>
    </row>
    <row r="1053" spans="1:19" hidden="1" outlineLevel="1" x14ac:dyDescent="0.35">
      <c r="A1053" s="483"/>
      <c r="B1053" s="762" t="s">
        <v>2004</v>
      </c>
      <c r="C1053" s="664" t="s">
        <v>602</v>
      </c>
      <c r="D1053" s="664"/>
      <c r="E1053" s="664"/>
      <c r="F1053" s="665"/>
      <c r="G1053" s="664"/>
      <c r="H1053" s="664"/>
      <c r="I1053" s="664"/>
      <c r="J1053" s="727"/>
      <c r="K1053" s="664"/>
      <c r="L1053" s="666"/>
    </row>
    <row r="1054" spans="1:19" hidden="1" outlineLevel="1" x14ac:dyDescent="0.35">
      <c r="A1054" s="483"/>
      <c r="B1054" s="762" t="s">
        <v>2004</v>
      </c>
      <c r="C1054" s="664" t="s">
        <v>603</v>
      </c>
      <c r="D1054" s="664"/>
      <c r="E1054" s="664"/>
      <c r="F1054" s="665"/>
      <c r="G1054" s="664"/>
      <c r="H1054" s="664"/>
      <c r="I1054" s="664"/>
      <c r="J1054" s="727"/>
      <c r="K1054" s="664"/>
      <c r="L1054" s="666"/>
    </row>
    <row r="1055" spans="1:19" hidden="1" outlineLevel="1" x14ac:dyDescent="0.35">
      <c r="A1055" s="483"/>
      <c r="B1055" s="762" t="s">
        <v>2004</v>
      </c>
      <c r="C1055" s="664" t="s">
        <v>604</v>
      </c>
      <c r="D1055" s="664"/>
      <c r="E1055" s="664"/>
      <c r="F1055" s="665"/>
      <c r="G1055" s="664"/>
      <c r="H1055" s="664"/>
      <c r="I1055" s="664"/>
      <c r="J1055" s="727"/>
      <c r="K1055" s="664"/>
      <c r="L1055" s="666"/>
    </row>
    <row r="1056" spans="1:19" hidden="1" outlineLevel="1" x14ac:dyDescent="0.35">
      <c r="A1056" s="483"/>
      <c r="B1056" s="762" t="s">
        <v>2004</v>
      </c>
      <c r="C1056" s="664" t="s">
        <v>605</v>
      </c>
      <c r="D1056" s="664"/>
      <c r="E1056" s="664"/>
      <c r="F1056" s="665"/>
      <c r="G1056" s="664"/>
      <c r="H1056" s="664"/>
      <c r="I1056" s="664"/>
      <c r="J1056" s="727"/>
      <c r="K1056" s="664"/>
      <c r="L1056" s="666"/>
    </row>
    <row r="1057" spans="1:19" hidden="1" outlineLevel="1" x14ac:dyDescent="0.35">
      <c r="A1057" s="483"/>
      <c r="B1057" s="762" t="s">
        <v>2004</v>
      </c>
      <c r="C1057" s="664" t="s">
        <v>606</v>
      </c>
      <c r="D1057" s="664"/>
      <c r="E1057" s="664"/>
      <c r="F1057" s="665"/>
      <c r="G1057" s="664"/>
      <c r="H1057" s="664"/>
      <c r="I1057" s="664"/>
      <c r="J1057" s="727"/>
      <c r="K1057" s="664"/>
      <c r="L1057" s="666"/>
    </row>
    <row r="1058" spans="1:19" hidden="1" outlineLevel="1" x14ac:dyDescent="0.35">
      <c r="A1058" s="483"/>
      <c r="B1058" s="762" t="s">
        <v>2004</v>
      </c>
      <c r="C1058" s="664" t="s">
        <v>607</v>
      </c>
      <c r="D1058" s="664"/>
      <c r="E1058" s="664"/>
      <c r="F1058" s="665"/>
      <c r="G1058" s="664"/>
      <c r="H1058" s="664"/>
      <c r="I1058" s="664"/>
      <c r="J1058" s="727"/>
      <c r="K1058" s="664"/>
      <c r="L1058" s="666"/>
    </row>
    <row r="1059" spans="1:19" hidden="1" outlineLevel="1" x14ac:dyDescent="0.35">
      <c r="A1059" s="483"/>
      <c r="B1059" s="762" t="s">
        <v>2004</v>
      </c>
      <c r="C1059" s="664" t="s">
        <v>608</v>
      </c>
      <c r="D1059" s="664"/>
      <c r="E1059" s="664"/>
      <c r="F1059" s="665"/>
      <c r="G1059" s="664"/>
      <c r="H1059" s="664"/>
      <c r="I1059" s="664"/>
      <c r="J1059" s="727"/>
      <c r="K1059" s="664"/>
      <c r="L1059" s="666"/>
    </row>
    <row r="1060" spans="1:19" hidden="1" outlineLevel="1" x14ac:dyDescent="0.35">
      <c r="A1060" s="483"/>
      <c r="B1060" s="762" t="s">
        <v>2004</v>
      </c>
      <c r="C1060" s="664" t="s">
        <v>609</v>
      </c>
      <c r="D1060" s="664"/>
      <c r="E1060" s="664"/>
      <c r="F1060" s="665"/>
      <c r="G1060" s="664"/>
      <c r="H1060" s="664"/>
      <c r="I1060" s="664"/>
      <c r="J1060" s="727"/>
      <c r="K1060" s="664"/>
      <c r="L1060" s="666"/>
    </row>
    <row r="1061" spans="1:19" hidden="1" outlineLevel="1" x14ac:dyDescent="0.35">
      <c r="A1061" s="483"/>
      <c r="B1061" s="762" t="s">
        <v>2004</v>
      </c>
      <c r="C1061" s="664" t="s">
        <v>610</v>
      </c>
      <c r="D1061" s="664"/>
      <c r="E1061" s="664"/>
      <c r="F1061" s="665"/>
      <c r="G1061" s="664"/>
      <c r="H1061" s="664"/>
      <c r="I1061" s="664"/>
      <c r="J1061" s="727"/>
      <c r="K1061" s="664"/>
      <c r="L1061" s="666"/>
    </row>
    <row r="1062" spans="1:19" ht="15" hidden="1" outlineLevel="1" thickBot="1" x14ac:dyDescent="0.4">
      <c r="A1062" s="483"/>
      <c r="B1062" s="761"/>
      <c r="C1062" s="670"/>
      <c r="D1062" s="670"/>
      <c r="E1062" s="670"/>
      <c r="F1062" s="671"/>
      <c r="G1062" s="670"/>
      <c r="H1062" s="670"/>
      <c r="I1062" s="670"/>
      <c r="J1062" s="728"/>
      <c r="K1062" s="670"/>
      <c r="L1062" s="711"/>
    </row>
    <row r="1063" spans="1:19" ht="15.5" collapsed="1" thickTop="1" thickBot="1" x14ac:dyDescent="0.4">
      <c r="B1063" s="2"/>
    </row>
    <row r="1064" spans="1:19" ht="23" thickBot="1" x14ac:dyDescent="0.4">
      <c r="B1064" s="524"/>
      <c r="C1064" s="525" t="s">
        <v>640</v>
      </c>
      <c r="D1064" s="525"/>
      <c r="E1064" s="525"/>
      <c r="F1064" s="525"/>
      <c r="G1064" s="525"/>
      <c r="H1064" s="525"/>
      <c r="I1064" s="525"/>
      <c r="J1064" s="525"/>
      <c r="K1064" s="527"/>
      <c r="L1064" s="526"/>
    </row>
    <row r="1065" spans="1:19" s="2" customFormat="1" ht="15.5" hidden="1" outlineLevel="1" thickTop="1" thickBot="1" x14ac:dyDescent="0.4">
      <c r="B1065" s="721"/>
      <c r="C1065" s="719" t="s">
        <v>0</v>
      </c>
      <c r="D1065" s="719"/>
      <c r="E1065" s="719"/>
      <c r="F1065" s="719"/>
      <c r="G1065" s="719"/>
      <c r="H1065" s="719"/>
      <c r="I1065" s="719"/>
      <c r="J1065" s="719"/>
      <c r="K1065" s="719"/>
      <c r="L1065" s="720"/>
      <c r="M1065" s="385"/>
      <c r="S1065" s="783"/>
    </row>
    <row r="1066" spans="1:19" ht="15" hidden="1" outlineLevel="1" thickTop="1" x14ac:dyDescent="0.35">
      <c r="A1066" s="483"/>
      <c r="B1066" s="759" t="s">
        <v>2005</v>
      </c>
      <c r="C1066" s="757" t="s">
        <v>641</v>
      </c>
      <c r="D1066" s="664"/>
      <c r="E1066" s="664"/>
      <c r="F1066" s="665"/>
      <c r="G1066" s="664"/>
      <c r="H1066" s="664"/>
      <c r="I1066" s="664"/>
      <c r="J1066" s="727"/>
      <c r="K1066" s="664"/>
      <c r="L1066" s="666"/>
    </row>
    <row r="1067" spans="1:19" hidden="1" outlineLevel="1" x14ac:dyDescent="0.35">
      <c r="A1067" s="483"/>
      <c r="B1067" s="762" t="s">
        <v>2005</v>
      </c>
      <c r="C1067" s="664" t="s">
        <v>642</v>
      </c>
      <c r="D1067" s="664"/>
      <c r="E1067" s="664"/>
      <c r="F1067" s="665"/>
      <c r="G1067" s="664"/>
      <c r="H1067" s="664"/>
      <c r="I1067" s="664"/>
      <c r="J1067" s="727"/>
      <c r="K1067" s="664"/>
      <c r="L1067" s="666"/>
    </row>
    <row r="1068" spans="1:19" hidden="1" outlineLevel="1" x14ac:dyDescent="0.35">
      <c r="A1068" s="483"/>
      <c r="B1068" s="762" t="s">
        <v>2005</v>
      </c>
      <c r="C1068" s="664" t="s">
        <v>643</v>
      </c>
      <c r="D1068" s="664"/>
      <c r="E1068" s="664"/>
      <c r="F1068" s="665"/>
      <c r="G1068" s="664"/>
      <c r="H1068" s="664"/>
      <c r="I1068" s="664"/>
      <c r="J1068" s="727"/>
      <c r="K1068" s="664"/>
      <c r="L1068" s="666"/>
    </row>
    <row r="1069" spans="1:19" hidden="1" outlineLevel="1" x14ac:dyDescent="0.35">
      <c r="A1069" s="483"/>
      <c r="B1069" s="762" t="s">
        <v>2005</v>
      </c>
      <c r="C1069" s="664" t="s">
        <v>644</v>
      </c>
      <c r="D1069" s="664"/>
      <c r="E1069" s="664"/>
      <c r="F1069" s="665"/>
      <c r="G1069" s="664"/>
      <c r="H1069" s="664"/>
      <c r="I1069" s="664"/>
      <c r="J1069" s="727"/>
      <c r="K1069" s="664"/>
      <c r="L1069" s="666"/>
    </row>
    <row r="1070" spans="1:19" hidden="1" outlineLevel="1" x14ac:dyDescent="0.35">
      <c r="A1070" s="483"/>
      <c r="B1070" s="762" t="s">
        <v>2005</v>
      </c>
      <c r="C1070" s="664" t="s">
        <v>645</v>
      </c>
      <c r="D1070" s="664"/>
      <c r="E1070" s="664"/>
      <c r="F1070" s="665"/>
      <c r="G1070" s="664"/>
      <c r="H1070" s="664"/>
      <c r="I1070" s="664"/>
      <c r="J1070" s="727"/>
      <c r="K1070" s="664"/>
      <c r="L1070" s="666"/>
    </row>
    <row r="1071" spans="1:19" hidden="1" outlineLevel="1" x14ac:dyDescent="0.35">
      <c r="A1071" s="483"/>
      <c r="B1071" s="762" t="s">
        <v>2005</v>
      </c>
      <c r="C1071" s="664" t="s">
        <v>646</v>
      </c>
      <c r="D1071" s="664"/>
      <c r="E1071" s="664"/>
      <c r="F1071" s="665"/>
      <c r="G1071" s="664"/>
      <c r="H1071" s="664"/>
      <c r="I1071" s="664"/>
      <c r="J1071" s="727"/>
      <c r="K1071" s="664"/>
      <c r="L1071" s="666"/>
    </row>
    <row r="1072" spans="1:19" hidden="1" outlineLevel="1" x14ac:dyDescent="0.35">
      <c r="A1072" s="483"/>
      <c r="B1072" s="762" t="s">
        <v>2005</v>
      </c>
      <c r="C1072" s="664" t="s">
        <v>647</v>
      </c>
      <c r="D1072" s="664"/>
      <c r="E1072" s="664"/>
      <c r="F1072" s="665"/>
      <c r="G1072" s="664"/>
      <c r="H1072" s="664"/>
      <c r="I1072" s="664"/>
      <c r="J1072" s="727"/>
      <c r="K1072" s="664"/>
      <c r="L1072" s="666"/>
    </row>
    <row r="1073" spans="1:12" hidden="1" outlineLevel="1" x14ac:dyDescent="0.35">
      <c r="A1073" s="483"/>
      <c r="B1073" s="762" t="s">
        <v>2005</v>
      </c>
      <c r="C1073" s="664" t="s">
        <v>648</v>
      </c>
      <c r="D1073" s="664"/>
      <c r="E1073" s="664"/>
      <c r="F1073" s="665"/>
      <c r="G1073" s="664"/>
      <c r="H1073" s="664"/>
      <c r="I1073" s="664"/>
      <c r="J1073" s="727"/>
      <c r="K1073" s="664"/>
      <c r="L1073" s="666"/>
    </row>
    <row r="1074" spans="1:12" hidden="1" outlineLevel="1" x14ac:dyDescent="0.35">
      <c r="A1074" s="483"/>
      <c r="B1074" s="762" t="s">
        <v>2005</v>
      </c>
      <c r="C1074" s="664" t="s">
        <v>649</v>
      </c>
      <c r="D1074" s="664"/>
      <c r="E1074" s="664"/>
      <c r="F1074" s="665"/>
      <c r="G1074" s="664"/>
      <c r="H1074" s="664"/>
      <c r="I1074" s="664"/>
      <c r="J1074" s="727"/>
      <c r="K1074" s="664"/>
      <c r="L1074" s="666"/>
    </row>
    <row r="1075" spans="1:12" hidden="1" outlineLevel="1" x14ac:dyDescent="0.35">
      <c r="A1075" s="483"/>
      <c r="B1075" s="762" t="s">
        <v>2005</v>
      </c>
      <c r="C1075" s="664" t="s">
        <v>650</v>
      </c>
      <c r="D1075" s="664"/>
      <c r="E1075" s="664"/>
      <c r="F1075" s="665"/>
      <c r="G1075" s="664"/>
      <c r="H1075" s="664"/>
      <c r="I1075" s="664"/>
      <c r="J1075" s="727"/>
      <c r="K1075" s="664"/>
      <c r="L1075" s="666"/>
    </row>
    <row r="1076" spans="1:12" hidden="1" outlineLevel="1" x14ac:dyDescent="0.35">
      <c r="A1076" s="483"/>
      <c r="B1076" s="762" t="s">
        <v>2005</v>
      </c>
      <c r="C1076" s="664" t="s">
        <v>651</v>
      </c>
      <c r="D1076" s="664"/>
      <c r="E1076" s="664"/>
      <c r="F1076" s="665"/>
      <c r="G1076" s="664"/>
      <c r="H1076" s="664"/>
      <c r="I1076" s="664"/>
      <c r="J1076" s="727"/>
      <c r="K1076" s="664"/>
      <c r="L1076" s="666"/>
    </row>
    <row r="1077" spans="1:12" hidden="1" outlineLevel="1" x14ac:dyDescent="0.35">
      <c r="A1077" s="483"/>
      <c r="B1077" s="762" t="s">
        <v>2005</v>
      </c>
      <c r="C1077" s="664" t="s">
        <v>652</v>
      </c>
      <c r="D1077" s="664"/>
      <c r="E1077" s="664"/>
      <c r="F1077" s="665"/>
      <c r="G1077" s="664"/>
      <c r="H1077" s="664"/>
      <c r="I1077" s="664"/>
      <c r="J1077" s="727"/>
      <c r="K1077" s="664"/>
      <c r="L1077" s="666"/>
    </row>
    <row r="1078" spans="1:12" hidden="1" outlineLevel="1" x14ac:dyDescent="0.35">
      <c r="A1078" s="483"/>
      <c r="B1078" s="762" t="s">
        <v>2005</v>
      </c>
      <c r="C1078" s="664" t="s">
        <v>653</v>
      </c>
      <c r="D1078" s="664"/>
      <c r="E1078" s="664"/>
      <c r="F1078" s="665"/>
      <c r="G1078" s="664"/>
      <c r="H1078" s="664"/>
      <c r="I1078" s="664"/>
      <c r="J1078" s="727"/>
      <c r="K1078" s="664"/>
      <c r="L1078" s="666"/>
    </row>
    <row r="1079" spans="1:12" hidden="1" outlineLevel="1" x14ac:dyDescent="0.35">
      <c r="A1079" s="483"/>
      <c r="B1079" s="762" t="s">
        <v>2005</v>
      </c>
      <c r="C1079" s="664" t="s">
        <v>654</v>
      </c>
      <c r="D1079" s="664"/>
      <c r="E1079" s="664"/>
      <c r="F1079" s="665"/>
      <c r="G1079" s="664"/>
      <c r="H1079" s="664"/>
      <c r="I1079" s="664"/>
      <c r="J1079" s="727"/>
      <c r="K1079" s="664"/>
      <c r="L1079" s="666"/>
    </row>
    <row r="1080" spans="1:12" hidden="1" outlineLevel="1" x14ac:dyDescent="0.35">
      <c r="A1080" s="483"/>
      <c r="B1080" s="762" t="s">
        <v>2005</v>
      </c>
      <c r="C1080" s="664" t="s">
        <v>655</v>
      </c>
      <c r="D1080" s="664"/>
      <c r="E1080" s="664"/>
      <c r="F1080" s="665"/>
      <c r="G1080" s="664"/>
      <c r="H1080" s="664"/>
      <c r="I1080" s="664"/>
      <c r="J1080" s="727"/>
      <c r="K1080" s="664"/>
      <c r="L1080" s="666"/>
    </row>
    <row r="1081" spans="1:12" hidden="1" outlineLevel="1" x14ac:dyDescent="0.35">
      <c r="A1081" s="483"/>
      <c r="B1081" s="762" t="s">
        <v>2005</v>
      </c>
      <c r="C1081" s="664" t="s">
        <v>656</v>
      </c>
      <c r="D1081" s="664"/>
      <c r="E1081" s="664"/>
      <c r="F1081" s="665"/>
      <c r="G1081" s="664"/>
      <c r="H1081" s="664"/>
      <c r="I1081" s="664"/>
      <c r="J1081" s="727"/>
      <c r="K1081" s="664"/>
      <c r="L1081" s="666"/>
    </row>
    <row r="1082" spans="1:12" hidden="1" outlineLevel="1" x14ac:dyDescent="0.35">
      <c r="A1082" s="483"/>
      <c r="B1082" s="762" t="s">
        <v>2005</v>
      </c>
      <c r="C1082" s="664" t="s">
        <v>657</v>
      </c>
      <c r="D1082" s="664"/>
      <c r="E1082" s="664"/>
      <c r="F1082" s="665"/>
      <c r="G1082" s="664"/>
      <c r="H1082" s="664"/>
      <c r="I1082" s="664"/>
      <c r="J1082" s="727"/>
      <c r="K1082" s="664"/>
      <c r="L1082" s="666"/>
    </row>
    <row r="1083" spans="1:12" hidden="1" outlineLevel="1" x14ac:dyDescent="0.35">
      <c r="A1083" s="483"/>
      <c r="B1083" s="762" t="s">
        <v>2005</v>
      </c>
      <c r="C1083" s="664" t="s">
        <v>658</v>
      </c>
      <c r="D1083" s="664"/>
      <c r="E1083" s="664"/>
      <c r="F1083" s="665"/>
      <c r="G1083" s="664"/>
      <c r="H1083" s="664"/>
      <c r="I1083" s="664"/>
      <c r="J1083" s="727"/>
      <c r="K1083" s="664"/>
      <c r="L1083" s="666"/>
    </row>
    <row r="1084" spans="1:12" hidden="1" outlineLevel="1" x14ac:dyDescent="0.35">
      <c r="A1084" s="483"/>
      <c r="B1084" s="762" t="s">
        <v>2005</v>
      </c>
      <c r="C1084" s="664" t="s">
        <v>659</v>
      </c>
      <c r="D1084" s="664"/>
      <c r="E1084" s="664"/>
      <c r="F1084" s="665"/>
      <c r="G1084" s="664"/>
      <c r="H1084" s="664"/>
      <c r="I1084" s="664"/>
      <c r="J1084" s="727"/>
      <c r="K1084" s="664"/>
      <c r="L1084" s="666"/>
    </row>
    <row r="1085" spans="1:12" hidden="1" outlineLevel="1" x14ac:dyDescent="0.35">
      <c r="A1085" s="483"/>
      <c r="B1085" s="762" t="s">
        <v>2005</v>
      </c>
      <c r="C1085" s="664" t="s">
        <v>660</v>
      </c>
      <c r="D1085" s="664"/>
      <c r="E1085" s="664"/>
      <c r="F1085" s="665"/>
      <c r="G1085" s="664"/>
      <c r="H1085" s="664"/>
      <c r="I1085" s="664"/>
      <c r="J1085" s="727"/>
      <c r="K1085" s="664"/>
      <c r="L1085" s="666"/>
    </row>
    <row r="1086" spans="1:12" hidden="1" outlineLevel="1" x14ac:dyDescent="0.35">
      <c r="A1086" s="483"/>
      <c r="B1086" s="762" t="s">
        <v>2005</v>
      </c>
      <c r="C1086" s="664" t="s">
        <v>661</v>
      </c>
      <c r="D1086" s="664"/>
      <c r="E1086" s="664"/>
      <c r="F1086" s="665"/>
      <c r="G1086" s="664"/>
      <c r="H1086" s="664"/>
      <c r="I1086" s="664"/>
      <c r="J1086" s="727"/>
      <c r="K1086" s="664"/>
      <c r="L1086" s="666"/>
    </row>
    <row r="1087" spans="1:12" hidden="1" outlineLevel="1" x14ac:dyDescent="0.35">
      <c r="A1087" s="483"/>
      <c r="B1087" s="762" t="s">
        <v>2005</v>
      </c>
      <c r="C1087" s="664" t="s">
        <v>662</v>
      </c>
      <c r="D1087" s="664"/>
      <c r="E1087" s="664"/>
      <c r="F1087" s="665"/>
      <c r="G1087" s="664"/>
      <c r="H1087" s="664"/>
      <c r="I1087" s="664"/>
      <c r="J1087" s="727"/>
      <c r="K1087" s="664"/>
      <c r="L1087" s="666"/>
    </row>
    <row r="1088" spans="1:12" hidden="1" outlineLevel="1" x14ac:dyDescent="0.35">
      <c r="A1088" s="483"/>
      <c r="B1088" s="762" t="s">
        <v>2005</v>
      </c>
      <c r="C1088" s="664" t="s">
        <v>663</v>
      </c>
      <c r="D1088" s="664"/>
      <c r="E1088" s="664"/>
      <c r="F1088" s="665"/>
      <c r="G1088" s="664"/>
      <c r="H1088" s="664"/>
      <c r="I1088" s="664"/>
      <c r="J1088" s="727"/>
      <c r="K1088" s="664"/>
      <c r="L1088" s="666"/>
    </row>
    <row r="1089" spans="1:12" hidden="1" outlineLevel="1" x14ac:dyDescent="0.35">
      <c r="A1089" s="483"/>
      <c r="B1089" s="762" t="s">
        <v>2005</v>
      </c>
      <c r="C1089" s="664" t="s">
        <v>664</v>
      </c>
      <c r="D1089" s="664"/>
      <c r="E1089" s="664"/>
      <c r="F1089" s="665"/>
      <c r="G1089" s="664"/>
      <c r="H1089" s="664"/>
      <c r="I1089" s="664"/>
      <c r="J1089" s="727"/>
      <c r="K1089" s="664"/>
      <c r="L1089" s="666"/>
    </row>
    <row r="1090" spans="1:12" hidden="1" outlineLevel="1" x14ac:dyDescent="0.35">
      <c r="A1090" s="483"/>
      <c r="B1090" s="762" t="s">
        <v>2005</v>
      </c>
      <c r="C1090" s="664" t="s">
        <v>665</v>
      </c>
      <c r="D1090" s="664"/>
      <c r="E1090" s="664"/>
      <c r="F1090" s="665"/>
      <c r="G1090" s="664"/>
      <c r="H1090" s="664"/>
      <c r="I1090" s="664"/>
      <c r="J1090" s="727"/>
      <c r="K1090" s="664"/>
      <c r="L1090" s="666"/>
    </row>
    <row r="1091" spans="1:12" hidden="1" outlineLevel="1" x14ac:dyDescent="0.35">
      <c r="A1091" s="483"/>
      <c r="B1091" s="762" t="s">
        <v>2005</v>
      </c>
      <c r="C1091" s="664" t="s">
        <v>666</v>
      </c>
      <c r="D1091" s="664"/>
      <c r="E1091" s="664"/>
      <c r="F1091" s="665"/>
      <c r="G1091" s="664"/>
      <c r="H1091" s="664"/>
      <c r="I1091" s="664"/>
      <c r="J1091" s="727"/>
      <c r="K1091" s="664"/>
      <c r="L1091" s="666"/>
    </row>
    <row r="1092" spans="1:12" hidden="1" outlineLevel="1" x14ac:dyDescent="0.35">
      <c r="A1092" s="483"/>
      <c r="B1092" s="762" t="s">
        <v>2005</v>
      </c>
      <c r="C1092" s="664" t="s">
        <v>667</v>
      </c>
      <c r="D1092" s="664"/>
      <c r="E1092" s="664"/>
      <c r="F1092" s="665"/>
      <c r="G1092" s="664"/>
      <c r="H1092" s="664"/>
      <c r="I1092" s="664"/>
      <c r="J1092" s="727"/>
      <c r="K1092" s="664"/>
      <c r="L1092" s="666"/>
    </row>
    <row r="1093" spans="1:12" hidden="1" outlineLevel="1" x14ac:dyDescent="0.35">
      <c r="A1093" s="483"/>
      <c r="B1093" s="762" t="s">
        <v>2005</v>
      </c>
      <c r="C1093" s="664" t="s">
        <v>668</v>
      </c>
      <c r="D1093" s="664"/>
      <c r="E1093" s="664"/>
      <c r="F1093" s="665"/>
      <c r="G1093" s="664"/>
      <c r="H1093" s="664"/>
      <c r="I1093" s="664"/>
      <c r="J1093" s="727"/>
      <c r="K1093" s="664"/>
      <c r="L1093" s="666"/>
    </row>
    <row r="1094" spans="1:12" hidden="1" outlineLevel="1" x14ac:dyDescent="0.35">
      <c r="A1094" s="483"/>
      <c r="B1094" s="762" t="s">
        <v>2005</v>
      </c>
      <c r="C1094" s="664" t="s">
        <v>669</v>
      </c>
      <c r="D1094" s="664"/>
      <c r="E1094" s="664"/>
      <c r="F1094" s="665"/>
      <c r="G1094" s="664"/>
      <c r="H1094" s="664"/>
      <c r="I1094" s="664"/>
      <c r="J1094" s="727"/>
      <c r="K1094" s="664"/>
      <c r="L1094" s="666"/>
    </row>
    <row r="1095" spans="1:12" hidden="1" outlineLevel="1" x14ac:dyDescent="0.35">
      <c r="A1095" s="483"/>
      <c r="B1095" s="762" t="s">
        <v>2005</v>
      </c>
      <c r="C1095" s="664" t="s">
        <v>670</v>
      </c>
      <c r="D1095" s="664"/>
      <c r="E1095" s="664"/>
      <c r="F1095" s="665"/>
      <c r="G1095" s="664"/>
      <c r="H1095" s="664"/>
      <c r="I1095" s="664"/>
      <c r="J1095" s="727"/>
      <c r="K1095" s="664"/>
      <c r="L1095" s="666"/>
    </row>
    <row r="1096" spans="1:12" hidden="1" outlineLevel="1" x14ac:dyDescent="0.35">
      <c r="A1096" s="483"/>
      <c r="B1096" s="762" t="s">
        <v>2005</v>
      </c>
      <c r="C1096" s="664" t="s">
        <v>671</v>
      </c>
      <c r="D1096" s="664"/>
      <c r="E1096" s="664"/>
      <c r="F1096" s="665"/>
      <c r="G1096" s="664"/>
      <c r="H1096" s="664"/>
      <c r="I1096" s="664"/>
      <c r="J1096" s="727"/>
      <c r="K1096" s="664"/>
      <c r="L1096" s="666"/>
    </row>
    <row r="1097" spans="1:12" hidden="1" outlineLevel="1" x14ac:dyDescent="0.35">
      <c r="A1097" s="483"/>
      <c r="B1097" s="762" t="s">
        <v>2005</v>
      </c>
      <c r="C1097" s="664" t="s">
        <v>672</v>
      </c>
      <c r="D1097" s="664"/>
      <c r="E1097" s="664"/>
      <c r="F1097" s="665"/>
      <c r="G1097" s="664"/>
      <c r="H1097" s="664"/>
      <c r="I1097" s="664"/>
      <c r="J1097" s="727"/>
      <c r="K1097" s="664"/>
      <c r="L1097" s="666"/>
    </row>
    <row r="1098" spans="1:12" hidden="1" outlineLevel="1" x14ac:dyDescent="0.35">
      <c r="A1098" s="483"/>
      <c r="B1098" s="762" t="s">
        <v>2005</v>
      </c>
      <c r="C1098" s="664" t="s">
        <v>673</v>
      </c>
      <c r="D1098" s="664"/>
      <c r="E1098" s="664"/>
      <c r="F1098" s="665"/>
      <c r="G1098" s="664"/>
      <c r="H1098" s="664"/>
      <c r="I1098" s="664"/>
      <c r="J1098" s="727"/>
      <c r="K1098" s="664"/>
      <c r="L1098" s="666"/>
    </row>
    <row r="1099" spans="1:12" hidden="1" outlineLevel="1" x14ac:dyDescent="0.35">
      <c r="A1099" s="483"/>
      <c r="B1099" s="762" t="s">
        <v>2005</v>
      </c>
      <c r="C1099" s="664" t="s">
        <v>674</v>
      </c>
      <c r="D1099" s="664"/>
      <c r="E1099" s="664"/>
      <c r="F1099" s="665"/>
      <c r="G1099" s="664"/>
      <c r="H1099" s="664"/>
      <c r="I1099" s="664"/>
      <c r="J1099" s="727"/>
      <c r="K1099" s="664"/>
      <c r="L1099" s="666"/>
    </row>
    <row r="1100" spans="1:12" hidden="1" outlineLevel="1" x14ac:dyDescent="0.35">
      <c r="A1100" s="483"/>
      <c r="B1100" s="762" t="s">
        <v>2005</v>
      </c>
      <c r="C1100" s="664" t="s">
        <v>675</v>
      </c>
      <c r="D1100" s="664"/>
      <c r="E1100" s="664"/>
      <c r="F1100" s="665"/>
      <c r="G1100" s="664"/>
      <c r="H1100" s="664"/>
      <c r="I1100" s="664"/>
      <c r="J1100" s="727"/>
      <c r="K1100" s="664"/>
      <c r="L1100" s="666"/>
    </row>
    <row r="1101" spans="1:12" hidden="1" outlineLevel="1" x14ac:dyDescent="0.35">
      <c r="A1101" s="483"/>
      <c r="B1101" s="762" t="s">
        <v>2005</v>
      </c>
      <c r="C1101" s="664" t="s">
        <v>676</v>
      </c>
      <c r="D1101" s="664"/>
      <c r="E1101" s="664"/>
      <c r="F1101" s="665"/>
      <c r="G1101" s="664"/>
      <c r="H1101" s="664"/>
      <c r="I1101" s="664"/>
      <c r="J1101" s="727"/>
      <c r="K1101" s="664"/>
      <c r="L1101" s="666"/>
    </row>
    <row r="1102" spans="1:12" hidden="1" outlineLevel="1" x14ac:dyDescent="0.35">
      <c r="A1102" s="483"/>
      <c r="B1102" s="762" t="s">
        <v>2005</v>
      </c>
      <c r="C1102" s="664" t="s">
        <v>677</v>
      </c>
      <c r="D1102" s="664"/>
      <c r="E1102" s="664"/>
      <c r="F1102" s="665"/>
      <c r="G1102" s="664"/>
      <c r="H1102" s="664"/>
      <c r="I1102" s="664"/>
      <c r="J1102" s="727"/>
      <c r="K1102" s="664"/>
      <c r="L1102" s="666"/>
    </row>
    <row r="1103" spans="1:12" hidden="1" outlineLevel="1" x14ac:dyDescent="0.35">
      <c r="A1103" s="483"/>
      <c r="B1103" s="762" t="s">
        <v>2005</v>
      </c>
      <c r="C1103" s="664" t="s">
        <v>678</v>
      </c>
      <c r="D1103" s="664"/>
      <c r="E1103" s="664"/>
      <c r="F1103" s="665"/>
      <c r="G1103" s="664"/>
      <c r="H1103" s="664"/>
      <c r="I1103" s="664"/>
      <c r="J1103" s="727"/>
      <c r="K1103" s="664"/>
      <c r="L1103" s="666"/>
    </row>
    <row r="1104" spans="1:12" hidden="1" outlineLevel="1" x14ac:dyDescent="0.35">
      <c r="A1104" s="483"/>
      <c r="B1104" s="762" t="s">
        <v>2005</v>
      </c>
      <c r="C1104" s="664" t="s">
        <v>679</v>
      </c>
      <c r="D1104" s="664"/>
      <c r="E1104" s="664"/>
      <c r="F1104" s="665"/>
      <c r="G1104" s="664"/>
      <c r="H1104" s="664"/>
      <c r="I1104" s="664"/>
      <c r="J1104" s="727"/>
      <c r="K1104" s="664"/>
      <c r="L1104" s="666"/>
    </row>
    <row r="1105" spans="1:19" ht="15" hidden="1" outlineLevel="1" thickBot="1" x14ac:dyDescent="0.4">
      <c r="A1105" s="483"/>
      <c r="B1105" s="761"/>
      <c r="C1105" s="670"/>
      <c r="D1105" s="670"/>
      <c r="E1105" s="670"/>
      <c r="F1105" s="671"/>
      <c r="G1105" s="670"/>
      <c r="H1105" s="670"/>
      <c r="I1105" s="670"/>
      <c r="J1105" s="728"/>
      <c r="K1105" s="670"/>
      <c r="L1105" s="711"/>
    </row>
    <row r="1106" spans="1:19" ht="15.5" collapsed="1" thickTop="1" thickBot="1" x14ac:dyDescent="0.4"/>
    <row r="1107" spans="1:19" ht="23" thickBot="1" x14ac:dyDescent="0.4">
      <c r="B1107" s="524"/>
      <c r="C1107" s="525" t="s">
        <v>1853</v>
      </c>
      <c r="D1107" s="525"/>
      <c r="E1107" s="525"/>
      <c r="F1107" s="525"/>
      <c r="G1107" s="525"/>
      <c r="H1107" s="525"/>
      <c r="I1107" s="525"/>
      <c r="J1107" s="525"/>
      <c r="K1107" s="527"/>
      <c r="L1107" s="526"/>
    </row>
    <row r="1108" spans="1:19" s="2" customFormat="1" ht="15.5" hidden="1" outlineLevel="1" thickTop="1" thickBot="1" x14ac:dyDescent="0.4">
      <c r="B1108" s="721"/>
      <c r="C1108" s="719" t="s">
        <v>1037</v>
      </c>
      <c r="D1108" s="719" t="s">
        <v>0</v>
      </c>
      <c r="E1108" s="719"/>
      <c r="F1108" s="719"/>
      <c r="G1108" s="719"/>
      <c r="H1108" s="719" t="s">
        <v>2069</v>
      </c>
      <c r="I1108" s="719" t="s">
        <v>1866</v>
      </c>
      <c r="J1108" s="719" t="s">
        <v>1867</v>
      </c>
      <c r="K1108" s="719"/>
      <c r="L1108" s="720"/>
      <c r="M1108" s="385"/>
      <c r="S1108" s="783"/>
    </row>
    <row r="1109" spans="1:19" ht="15" hidden="1" outlineLevel="1" thickTop="1" x14ac:dyDescent="0.35">
      <c r="A1109" s="483"/>
      <c r="B1109" s="759" t="s">
        <v>2006</v>
      </c>
      <c r="C1109" s="758">
        <v>3011</v>
      </c>
      <c r="D1109" s="664" t="s">
        <v>1856</v>
      </c>
      <c r="E1109" s="664"/>
      <c r="F1109" s="665"/>
      <c r="G1109" s="664"/>
      <c r="H1109" s="665" t="s">
        <v>748</v>
      </c>
      <c r="I1109" s="722">
        <v>0</v>
      </c>
      <c r="J1109" s="727">
        <v>0</v>
      </c>
      <c r="K1109" s="664"/>
      <c r="L1109" s="666"/>
    </row>
    <row r="1110" spans="1:19" hidden="1" outlineLevel="1" x14ac:dyDescent="0.35">
      <c r="A1110" s="483"/>
      <c r="B1110" s="760" t="s">
        <v>2006</v>
      </c>
      <c r="C1110" s="731">
        <v>3021</v>
      </c>
      <c r="D1110" s="730" t="s">
        <v>1857</v>
      </c>
      <c r="E1110" s="730"/>
      <c r="F1110" s="731"/>
      <c r="G1110" s="730"/>
      <c r="H1110" s="731" t="s">
        <v>748</v>
      </c>
      <c r="I1110" s="734">
        <v>0</v>
      </c>
      <c r="J1110" s="732">
        <v>0</v>
      </c>
      <c r="K1110" s="730"/>
      <c r="L1110" s="733"/>
    </row>
    <row r="1111" spans="1:19" hidden="1" outlineLevel="1" x14ac:dyDescent="0.35">
      <c r="A1111" s="483"/>
      <c r="B1111" s="760" t="s">
        <v>2006</v>
      </c>
      <c r="C1111" s="731">
        <v>3023</v>
      </c>
      <c r="D1111" s="730" t="s">
        <v>1858</v>
      </c>
      <c r="E1111" s="730"/>
      <c r="F1111" s="731"/>
      <c r="G1111" s="730"/>
      <c r="H1111" s="731" t="s">
        <v>748</v>
      </c>
      <c r="I1111" s="734">
        <v>0</v>
      </c>
      <c r="J1111" s="732">
        <v>0.15</v>
      </c>
      <c r="K1111" s="730"/>
      <c r="L1111" s="733"/>
    </row>
    <row r="1112" spans="1:19" hidden="1" outlineLevel="1" x14ac:dyDescent="0.35">
      <c r="A1112" s="483"/>
      <c r="B1112" s="760" t="s">
        <v>2006</v>
      </c>
      <c r="C1112" s="731">
        <v>3031</v>
      </c>
      <c r="D1112" s="730" t="s">
        <v>1859</v>
      </c>
      <c r="E1112" s="730"/>
      <c r="F1112" s="731"/>
      <c r="G1112" s="730"/>
      <c r="H1112" s="731" t="s">
        <v>748</v>
      </c>
      <c r="I1112" s="734">
        <v>0</v>
      </c>
      <c r="J1112" s="732">
        <v>0.75</v>
      </c>
      <c r="K1112" s="730"/>
      <c r="L1112" s="733"/>
    </row>
    <row r="1113" spans="1:19" hidden="1" outlineLevel="1" x14ac:dyDescent="0.35">
      <c r="A1113" s="483"/>
      <c r="B1113" s="760" t="s">
        <v>2006</v>
      </c>
      <c r="C1113" s="731">
        <v>3033</v>
      </c>
      <c r="D1113" s="730" t="s">
        <v>1860</v>
      </c>
      <c r="E1113" s="730"/>
      <c r="F1113" s="731"/>
      <c r="G1113" s="730"/>
      <c r="H1113" s="731" t="s">
        <v>748</v>
      </c>
      <c r="I1113" s="734">
        <v>0</v>
      </c>
      <c r="J1113" s="732">
        <v>0.75</v>
      </c>
      <c r="K1113" s="730"/>
      <c r="L1113" s="733"/>
    </row>
    <row r="1114" spans="1:19" hidden="1" outlineLevel="1" x14ac:dyDescent="0.35">
      <c r="A1114" s="483"/>
      <c r="B1114" s="760" t="s">
        <v>2006</v>
      </c>
      <c r="C1114" s="731">
        <v>3041</v>
      </c>
      <c r="D1114" s="730" t="s">
        <v>1861</v>
      </c>
      <c r="E1114" s="730"/>
      <c r="F1114" s="731"/>
      <c r="G1114" s="730"/>
      <c r="H1114" s="731" t="s">
        <v>748</v>
      </c>
      <c r="I1114" s="734">
        <v>0</v>
      </c>
      <c r="J1114" s="732">
        <v>0.75</v>
      </c>
      <c r="K1114" s="730"/>
      <c r="L1114" s="733"/>
    </row>
    <row r="1115" spans="1:19" hidden="1" outlineLevel="1" x14ac:dyDescent="0.35">
      <c r="A1115" s="483"/>
      <c r="B1115" s="760" t="s">
        <v>2006</v>
      </c>
      <c r="C1115" s="731">
        <v>3043</v>
      </c>
      <c r="D1115" s="730" t="s">
        <v>1862</v>
      </c>
      <c r="E1115" s="730"/>
      <c r="F1115" s="731"/>
      <c r="G1115" s="730"/>
      <c r="H1115" s="731" t="s">
        <v>748</v>
      </c>
      <c r="I1115" s="734">
        <v>0</v>
      </c>
      <c r="J1115" s="732">
        <v>0</v>
      </c>
      <c r="K1115" s="730"/>
      <c r="L1115" s="733"/>
    </row>
    <row r="1116" spans="1:19" hidden="1" outlineLevel="1" x14ac:dyDescent="0.35">
      <c r="A1116" s="483"/>
      <c r="B1116" s="760" t="s">
        <v>2006</v>
      </c>
      <c r="C1116" s="731">
        <v>3051</v>
      </c>
      <c r="D1116" s="730" t="s">
        <v>1863</v>
      </c>
      <c r="E1116" s="730"/>
      <c r="F1116" s="731"/>
      <c r="G1116" s="730"/>
      <c r="H1116" s="731" t="s">
        <v>748</v>
      </c>
      <c r="I1116" s="734">
        <v>0</v>
      </c>
      <c r="J1116" s="732">
        <v>0</v>
      </c>
      <c r="K1116" s="730"/>
      <c r="L1116" s="733"/>
    </row>
    <row r="1117" spans="1:19" hidden="1" outlineLevel="1" x14ac:dyDescent="0.35">
      <c r="A1117" s="483"/>
      <c r="B1117" s="760" t="s">
        <v>2006</v>
      </c>
      <c r="C1117" s="731">
        <v>3053</v>
      </c>
      <c r="D1117" s="730" t="s">
        <v>1864</v>
      </c>
      <c r="E1117" s="730"/>
      <c r="F1117" s="731"/>
      <c r="G1117" s="730"/>
      <c r="H1117" s="731" t="s">
        <v>748</v>
      </c>
      <c r="I1117" s="734">
        <v>0</v>
      </c>
      <c r="J1117" s="732">
        <v>0</v>
      </c>
      <c r="K1117" s="730"/>
      <c r="L1117" s="733"/>
    </row>
    <row r="1118" spans="1:19" hidden="1" outlineLevel="1" x14ac:dyDescent="0.35">
      <c r="A1118" s="483"/>
      <c r="B1118" s="760" t="s">
        <v>2006</v>
      </c>
      <c r="C1118" s="731">
        <v>3054</v>
      </c>
      <c r="D1118" s="730" t="s">
        <v>1865</v>
      </c>
      <c r="E1118" s="730"/>
      <c r="F1118" s="731"/>
      <c r="G1118" s="730"/>
      <c r="H1118" s="731" t="s">
        <v>748</v>
      </c>
      <c r="I1118" s="734">
        <v>0</v>
      </c>
      <c r="J1118" s="732">
        <v>0.1</v>
      </c>
      <c r="K1118" s="730"/>
      <c r="L1118" s="733"/>
    </row>
    <row r="1119" spans="1:19" hidden="1" outlineLevel="1" x14ac:dyDescent="0.35">
      <c r="A1119" s="483"/>
      <c r="B1119" s="760" t="s">
        <v>2006</v>
      </c>
      <c r="C1119" s="731">
        <v>3680</v>
      </c>
      <c r="D1119" s="730" t="s">
        <v>1854</v>
      </c>
      <c r="E1119" s="730"/>
      <c r="F1119" s="731"/>
      <c r="G1119" s="730"/>
      <c r="H1119" s="731" t="s">
        <v>748</v>
      </c>
      <c r="I1119" s="734">
        <v>0.04</v>
      </c>
      <c r="J1119" s="732">
        <v>0</v>
      </c>
      <c r="K1119" s="730"/>
      <c r="L1119" s="733"/>
    </row>
    <row r="1120" spans="1:19" ht="15" hidden="1" outlineLevel="1" thickBot="1" x14ac:dyDescent="0.4">
      <c r="A1120" s="483"/>
      <c r="B1120" s="761"/>
      <c r="C1120" s="671"/>
      <c r="D1120" s="670"/>
      <c r="E1120" s="670"/>
      <c r="F1120" s="671"/>
      <c r="G1120" s="670"/>
      <c r="H1120" s="671"/>
      <c r="I1120" s="723"/>
      <c r="J1120" s="728"/>
      <c r="K1120" s="670"/>
      <c r="L1120" s="711"/>
    </row>
    <row r="1121" spans="1:19" ht="15.5" collapsed="1" thickTop="1" thickBot="1" x14ac:dyDescent="0.4"/>
    <row r="1122" spans="1:19" ht="23" thickBot="1" x14ac:dyDescent="0.4">
      <c r="B1122" s="524"/>
      <c r="C1122" s="525" t="s">
        <v>1855</v>
      </c>
      <c r="D1122" s="525"/>
      <c r="E1122" s="525"/>
      <c r="F1122" s="525"/>
      <c r="G1122" s="525"/>
      <c r="H1122" s="525"/>
      <c r="I1122" s="525"/>
      <c r="J1122" s="525"/>
      <c r="K1122" s="527"/>
      <c r="L1122" s="526"/>
    </row>
    <row r="1123" spans="1:19" s="2" customFormat="1" ht="15.5" hidden="1" outlineLevel="1" thickTop="1" thickBot="1" x14ac:dyDescent="0.4">
      <c r="B1123" s="721"/>
      <c r="C1123" s="719" t="s">
        <v>1037</v>
      </c>
      <c r="D1123" s="719" t="s">
        <v>0</v>
      </c>
      <c r="E1123" s="719"/>
      <c r="F1123" s="719"/>
      <c r="G1123" s="719"/>
      <c r="H1123" s="719"/>
      <c r="I1123" s="719" t="s">
        <v>1866</v>
      </c>
      <c r="J1123" s="719" t="s">
        <v>1867</v>
      </c>
      <c r="K1123" s="719"/>
      <c r="L1123" s="720"/>
      <c r="M1123" s="385"/>
      <c r="S1123" s="783"/>
    </row>
    <row r="1124" spans="1:19" ht="15" hidden="1" outlineLevel="1" thickTop="1" x14ac:dyDescent="0.35">
      <c r="A1124" s="483"/>
      <c r="B1124" s="759" t="s">
        <v>2007</v>
      </c>
      <c r="C1124" s="758">
        <v>5001</v>
      </c>
      <c r="D1124" s="664" t="s">
        <v>1868</v>
      </c>
      <c r="E1124" s="664"/>
      <c r="F1124" s="665"/>
      <c r="G1124" s="664"/>
      <c r="H1124" s="665"/>
      <c r="I1124" s="722">
        <v>0</v>
      </c>
      <c r="J1124" s="727">
        <v>0.05</v>
      </c>
      <c r="K1124" s="664"/>
      <c r="L1124" s="666"/>
    </row>
    <row r="1125" spans="1:19" ht="15" hidden="1" outlineLevel="1" thickBot="1" x14ac:dyDescent="0.4">
      <c r="A1125" s="483"/>
      <c r="B1125" s="768"/>
      <c r="C1125" s="736"/>
      <c r="D1125" s="735"/>
      <c r="E1125" s="735"/>
      <c r="F1125" s="736"/>
      <c r="G1125" s="735"/>
      <c r="H1125" s="736"/>
      <c r="I1125" s="737"/>
      <c r="J1125" s="738"/>
      <c r="K1125" s="735"/>
      <c r="L1125" s="739"/>
    </row>
    <row r="1126" spans="1:19" ht="15.5" collapsed="1" thickTop="1" thickBot="1" x14ac:dyDescent="0.4"/>
    <row r="1127" spans="1:19" ht="23" thickBot="1" x14ac:dyDescent="0.4">
      <c r="B1127" s="524"/>
      <c r="C1127" s="525" t="s">
        <v>1933</v>
      </c>
      <c r="D1127" s="525"/>
      <c r="E1127" s="525"/>
      <c r="F1127" s="525"/>
      <c r="G1127" s="525"/>
      <c r="H1127" s="525"/>
      <c r="I1127" s="525"/>
      <c r="J1127" s="525"/>
      <c r="K1127" s="527"/>
      <c r="L1127" s="526"/>
    </row>
    <row r="1128" spans="1:19" s="2" customFormat="1" ht="27" hidden="1" outlineLevel="1" thickTop="1" thickBot="1" x14ac:dyDescent="0.4">
      <c r="B1128" s="721"/>
      <c r="C1128" s="719" t="s">
        <v>1679</v>
      </c>
      <c r="D1128" s="719"/>
      <c r="E1128" s="719" t="s">
        <v>1931</v>
      </c>
      <c r="F1128" s="719" t="s">
        <v>1932</v>
      </c>
      <c r="G1128" s="719"/>
      <c r="H1128" s="719"/>
      <c r="I1128" s="719"/>
      <c r="J1128" s="719"/>
      <c r="K1128" s="719"/>
      <c r="L1128" s="720"/>
      <c r="M1128" s="385"/>
      <c r="S1128" s="783"/>
    </row>
    <row r="1129" spans="1:19" ht="15" hidden="1" outlineLevel="1" thickTop="1" x14ac:dyDescent="0.35">
      <c r="A1129" s="483"/>
      <c r="B1129" s="769" t="s">
        <v>1944</v>
      </c>
      <c r="C1129" s="746" t="s">
        <v>1940</v>
      </c>
      <c r="D1129" s="741"/>
      <c r="E1129" s="740"/>
      <c r="F1129" s="740"/>
      <c r="G1129" s="743"/>
      <c r="H1129" s="746"/>
      <c r="I1129" s="744"/>
      <c r="J1129" s="745"/>
      <c r="K1129" s="746"/>
      <c r="L1129" s="747"/>
    </row>
    <row r="1130" spans="1:19" hidden="1" outlineLevel="1" x14ac:dyDescent="0.35">
      <c r="A1130" s="483"/>
      <c r="B1130" s="770" t="s">
        <v>1945</v>
      </c>
      <c r="C1130" s="730" t="s">
        <v>1941</v>
      </c>
      <c r="D1130" s="742"/>
      <c r="E1130" s="729"/>
      <c r="F1130" s="729"/>
      <c r="G1130" s="748"/>
      <c r="H1130" s="730"/>
      <c r="I1130" s="734"/>
      <c r="J1130" s="732"/>
      <c r="K1130" s="730"/>
      <c r="L1130" s="733"/>
    </row>
    <row r="1131" spans="1:19" hidden="1" outlineLevel="1" x14ac:dyDescent="0.35">
      <c r="A1131" s="483"/>
      <c r="B1131" s="770" t="s">
        <v>1946</v>
      </c>
      <c r="C1131" s="730" t="s">
        <v>1942</v>
      </c>
      <c r="D1131" s="742"/>
      <c r="E1131" s="729"/>
      <c r="F1131" s="729"/>
      <c r="G1131" s="748"/>
      <c r="H1131" s="730"/>
      <c r="I1131" s="734"/>
      <c r="J1131" s="732"/>
      <c r="K1131" s="730"/>
      <c r="L1131" s="733"/>
    </row>
    <row r="1132" spans="1:19" hidden="1" outlineLevel="1" x14ac:dyDescent="0.35">
      <c r="A1132" s="483"/>
      <c r="B1132" s="770" t="s">
        <v>1947</v>
      </c>
      <c r="C1132" s="730" t="s">
        <v>1943</v>
      </c>
      <c r="D1132" s="742"/>
      <c r="E1132" s="729"/>
      <c r="F1132" s="729"/>
      <c r="G1132" s="748"/>
      <c r="H1132" s="730"/>
      <c r="I1132" s="734"/>
      <c r="J1132" s="732"/>
      <c r="K1132" s="730"/>
      <c r="L1132" s="733"/>
    </row>
    <row r="1133" spans="1:19" ht="15" hidden="1" outlineLevel="1" thickBot="1" x14ac:dyDescent="0.4">
      <c r="A1133" s="483"/>
      <c r="B1133" s="771"/>
      <c r="C1133" s="735"/>
      <c r="D1133" s="749"/>
      <c r="E1133" s="750"/>
      <c r="F1133" s="750"/>
      <c r="G1133" s="751"/>
      <c r="H1133" s="735"/>
      <c r="I1133" s="737"/>
      <c r="J1133" s="738"/>
      <c r="K1133" s="735"/>
      <c r="L1133" s="739"/>
    </row>
    <row r="1134" spans="1:19" ht="15.5" collapsed="1" thickTop="1" thickBot="1" x14ac:dyDescent="0.4"/>
    <row r="1135" spans="1:19" ht="23" thickBot="1" x14ac:dyDescent="0.4">
      <c r="B1135" s="524"/>
      <c r="C1135" s="525" t="s">
        <v>1934</v>
      </c>
      <c r="D1135" s="525"/>
      <c r="E1135" s="525"/>
      <c r="F1135" s="525"/>
      <c r="G1135" s="525"/>
      <c r="H1135" s="525"/>
      <c r="I1135" s="525"/>
      <c r="J1135" s="525"/>
      <c r="K1135" s="527"/>
      <c r="L1135" s="526"/>
    </row>
    <row r="1136" spans="1:19" ht="27" hidden="1" outlineLevel="1" thickTop="1" thickBot="1" x14ac:dyDescent="0.4">
      <c r="B1136" s="721"/>
      <c r="C1136" s="719" t="s">
        <v>1679</v>
      </c>
      <c r="D1136" s="719"/>
      <c r="E1136" s="719" t="s">
        <v>1931</v>
      </c>
      <c r="F1136" s="719" t="s">
        <v>1932</v>
      </c>
      <c r="G1136" s="719"/>
      <c r="H1136" s="719"/>
      <c r="I1136" s="719"/>
      <c r="J1136" s="719"/>
      <c r="K1136" s="719"/>
      <c r="L1136" s="720"/>
    </row>
    <row r="1137" spans="1:19" s="2" customFormat="1" ht="15" hidden="1" outlineLevel="1" thickTop="1" x14ac:dyDescent="0.35">
      <c r="B1137" s="769" t="s">
        <v>2208</v>
      </c>
      <c r="C1137" s="746" t="s">
        <v>1936</v>
      </c>
      <c r="D1137" s="741"/>
      <c r="E1137" s="740"/>
      <c r="F1137" s="740"/>
      <c r="G1137" s="743"/>
      <c r="H1137" s="746"/>
      <c r="I1137" s="744"/>
      <c r="J1137" s="745"/>
      <c r="K1137" s="746"/>
      <c r="L1137" s="747"/>
      <c r="M1137" s="385"/>
      <c r="S1137" s="783"/>
    </row>
    <row r="1138" spans="1:19" hidden="1" outlineLevel="1" x14ac:dyDescent="0.35">
      <c r="A1138" s="483"/>
      <c r="B1138" s="770" t="s">
        <v>2208</v>
      </c>
      <c r="C1138" s="730" t="s">
        <v>1901</v>
      </c>
      <c r="D1138" s="742"/>
      <c r="E1138" s="729"/>
      <c r="F1138" s="729"/>
      <c r="G1138" s="748"/>
      <c r="H1138" s="730"/>
      <c r="I1138" s="734"/>
      <c r="J1138" s="732"/>
      <c r="K1138" s="730"/>
      <c r="L1138" s="733"/>
    </row>
    <row r="1139" spans="1:19" hidden="1" outlineLevel="1" x14ac:dyDescent="0.35">
      <c r="A1139" s="483"/>
      <c r="B1139" s="770" t="s">
        <v>2208</v>
      </c>
      <c r="C1139" s="730" t="s">
        <v>1902</v>
      </c>
      <c r="D1139" s="742"/>
      <c r="E1139" s="729"/>
      <c r="F1139" s="729"/>
      <c r="G1139" s="748"/>
      <c r="H1139" s="730"/>
      <c r="I1139" s="734"/>
      <c r="J1139" s="732"/>
      <c r="K1139" s="730"/>
      <c r="L1139" s="733"/>
    </row>
    <row r="1140" spans="1:19" hidden="1" outlineLevel="1" x14ac:dyDescent="0.35">
      <c r="A1140" s="483"/>
      <c r="B1140" s="770" t="s">
        <v>2208</v>
      </c>
      <c r="C1140" s="730" t="s">
        <v>1341</v>
      </c>
      <c r="D1140" s="742"/>
      <c r="E1140" s="729"/>
      <c r="F1140" s="729"/>
      <c r="G1140" s="748"/>
      <c r="H1140" s="730"/>
      <c r="I1140" s="734"/>
      <c r="J1140" s="732"/>
      <c r="K1140" s="730"/>
      <c r="L1140" s="733"/>
    </row>
    <row r="1141" spans="1:19" ht="15" hidden="1" outlineLevel="1" thickBot="1" x14ac:dyDescent="0.4">
      <c r="A1141" s="483"/>
      <c r="B1141" s="771"/>
      <c r="C1141" s="735"/>
      <c r="D1141" s="749"/>
      <c r="E1141" s="750"/>
      <c r="F1141" s="750"/>
      <c r="G1141" s="751"/>
      <c r="H1141" s="735"/>
      <c r="I1141" s="737"/>
      <c r="J1141" s="738"/>
      <c r="K1141" s="735"/>
      <c r="L1141" s="739"/>
    </row>
    <row r="1142" spans="1:19" ht="15.5" collapsed="1" thickTop="1" thickBot="1" x14ac:dyDescent="0.4">
      <c r="B1142" s="2"/>
    </row>
    <row r="1143" spans="1:19" ht="23" thickBot="1" x14ac:dyDescent="0.4">
      <c r="B1143" s="524"/>
      <c r="C1143" s="525" t="s">
        <v>1935</v>
      </c>
      <c r="D1143" s="525"/>
      <c r="E1143" s="525"/>
      <c r="F1143" s="525"/>
      <c r="G1143" s="525"/>
      <c r="H1143" s="525"/>
      <c r="I1143" s="525"/>
      <c r="J1143" s="525"/>
      <c r="K1143" s="527"/>
      <c r="L1143" s="526"/>
    </row>
    <row r="1144" spans="1:19" ht="27" hidden="1" outlineLevel="1" thickTop="1" thickBot="1" x14ac:dyDescent="0.4">
      <c r="B1144" s="721"/>
      <c r="C1144" s="719" t="s">
        <v>1679</v>
      </c>
      <c r="D1144" s="719"/>
      <c r="E1144" s="719" t="s">
        <v>1931</v>
      </c>
      <c r="F1144" s="719" t="s">
        <v>1932</v>
      </c>
      <c r="G1144" s="719"/>
      <c r="H1144" s="719"/>
      <c r="I1144" s="719"/>
      <c r="J1144" s="719" t="s">
        <v>1728</v>
      </c>
      <c r="K1144" s="719"/>
      <c r="L1144" s="720"/>
    </row>
    <row r="1145" spans="1:19" s="2" customFormat="1" ht="15" hidden="1" outlineLevel="1" thickTop="1" x14ac:dyDescent="0.35">
      <c r="B1145" s="769" t="s">
        <v>2209</v>
      </c>
      <c r="C1145" s="746" t="s">
        <v>1930</v>
      </c>
      <c r="D1145" s="741"/>
      <c r="E1145" s="740" t="s">
        <v>1939</v>
      </c>
      <c r="F1145" s="740"/>
      <c r="G1145" s="743"/>
      <c r="H1145" s="746"/>
      <c r="I1145" s="744"/>
      <c r="J1145" s="745"/>
      <c r="K1145" s="746"/>
      <c r="L1145" s="747"/>
      <c r="M1145" s="385"/>
      <c r="S1145" s="783"/>
    </row>
    <row r="1146" spans="1:19" hidden="1" outlineLevel="1" x14ac:dyDescent="0.35">
      <c r="A1146" s="483"/>
      <c r="B1146" s="770" t="s">
        <v>2209</v>
      </c>
      <c r="C1146" s="730" t="s">
        <v>1937</v>
      </c>
      <c r="D1146" s="742"/>
      <c r="E1146" s="729"/>
      <c r="F1146" s="729"/>
      <c r="G1146" s="748"/>
      <c r="H1146" s="730"/>
      <c r="I1146" s="734"/>
      <c r="J1146" s="732"/>
      <c r="K1146" s="730"/>
      <c r="L1146" s="733"/>
    </row>
    <row r="1147" spans="1:19" hidden="1" outlineLevel="1" x14ac:dyDescent="0.35">
      <c r="A1147" s="483"/>
      <c r="B1147" s="770" t="s">
        <v>2209</v>
      </c>
      <c r="C1147" s="730" t="s">
        <v>1938</v>
      </c>
      <c r="D1147" s="742"/>
      <c r="E1147" s="729" t="s">
        <v>1967</v>
      </c>
      <c r="F1147" s="729"/>
      <c r="G1147" s="748"/>
      <c r="H1147" s="730"/>
      <c r="I1147" s="734"/>
      <c r="J1147" s="732"/>
      <c r="K1147" s="730"/>
      <c r="L1147" s="733"/>
    </row>
    <row r="1148" spans="1:19" hidden="1" outlineLevel="1" x14ac:dyDescent="0.35">
      <c r="A1148" s="483"/>
      <c r="B1148" s="770" t="s">
        <v>2209</v>
      </c>
      <c r="C1148" s="730" t="s">
        <v>1727</v>
      </c>
      <c r="D1148" s="742"/>
      <c r="E1148" s="729"/>
      <c r="F1148" s="729"/>
      <c r="G1148" s="748"/>
      <c r="H1148" s="730"/>
      <c r="I1148" s="734"/>
      <c r="J1148" s="732"/>
      <c r="K1148" s="730"/>
      <c r="L1148" s="733"/>
    </row>
    <row r="1149" spans="1:19" hidden="1" outlineLevel="1" x14ac:dyDescent="0.35">
      <c r="A1149" s="483"/>
      <c r="B1149" s="770" t="s">
        <v>2209</v>
      </c>
      <c r="C1149" s="730"/>
      <c r="D1149" s="742"/>
      <c r="E1149" s="729"/>
      <c r="F1149" s="729"/>
      <c r="G1149" s="748"/>
      <c r="H1149" s="730"/>
      <c r="I1149" s="734"/>
      <c r="J1149" s="732"/>
      <c r="K1149" s="730"/>
      <c r="L1149" s="733"/>
    </row>
    <row r="1150" spans="1:19" hidden="1" outlineLevel="1" x14ac:dyDescent="0.35">
      <c r="A1150" s="483"/>
      <c r="B1150" s="770" t="s">
        <v>2209</v>
      </c>
      <c r="C1150" s="730"/>
      <c r="D1150" s="742"/>
      <c r="E1150" s="729"/>
      <c r="F1150" s="729"/>
      <c r="G1150" s="748"/>
      <c r="H1150" s="730"/>
      <c r="I1150" s="734"/>
      <c r="J1150" s="732"/>
      <c r="K1150" s="730"/>
      <c r="L1150" s="733"/>
    </row>
    <row r="1151" spans="1:19" hidden="1" outlineLevel="1" x14ac:dyDescent="0.35">
      <c r="A1151" s="483"/>
      <c r="B1151" s="770" t="s">
        <v>2209</v>
      </c>
      <c r="C1151" s="730"/>
      <c r="D1151" s="742"/>
      <c r="E1151" s="729"/>
      <c r="F1151" s="729"/>
      <c r="G1151" s="748"/>
      <c r="H1151" s="730"/>
      <c r="I1151" s="734"/>
      <c r="J1151" s="732"/>
      <c r="K1151" s="730"/>
      <c r="L1151" s="733"/>
    </row>
    <row r="1152" spans="1:19" hidden="1" outlineLevel="1" x14ac:dyDescent="0.35">
      <c r="A1152" s="483"/>
      <c r="B1152" s="770" t="s">
        <v>2209</v>
      </c>
      <c r="C1152" s="730"/>
      <c r="D1152" s="742"/>
      <c r="E1152" s="729"/>
      <c r="F1152" s="729"/>
      <c r="G1152" s="748"/>
      <c r="H1152" s="730"/>
      <c r="I1152" s="734"/>
      <c r="J1152" s="732"/>
      <c r="K1152" s="730"/>
      <c r="L1152" s="733"/>
    </row>
    <row r="1153" spans="1:12" hidden="1" outlineLevel="1" x14ac:dyDescent="0.35">
      <c r="A1153" s="483"/>
      <c r="B1153" s="770" t="s">
        <v>2209</v>
      </c>
      <c r="C1153" s="730"/>
      <c r="D1153" s="742"/>
      <c r="E1153" s="729"/>
      <c r="F1153" s="729"/>
      <c r="G1153" s="748"/>
      <c r="H1153" s="730"/>
      <c r="I1153" s="734"/>
      <c r="J1153" s="732"/>
      <c r="K1153" s="730"/>
      <c r="L1153" s="733"/>
    </row>
    <row r="1154" spans="1:12" hidden="1" outlineLevel="1" x14ac:dyDescent="0.35">
      <c r="A1154" s="483"/>
      <c r="B1154" s="770" t="s">
        <v>2209</v>
      </c>
      <c r="C1154" s="730"/>
      <c r="D1154" s="742"/>
      <c r="E1154" s="729"/>
      <c r="F1154" s="729"/>
      <c r="G1154" s="748"/>
      <c r="H1154" s="730"/>
      <c r="I1154" s="734"/>
      <c r="J1154" s="732"/>
      <c r="K1154" s="730"/>
      <c r="L1154" s="733"/>
    </row>
    <row r="1155" spans="1:12" hidden="1" outlineLevel="1" x14ac:dyDescent="0.35">
      <c r="A1155" s="483"/>
      <c r="B1155" s="770" t="s">
        <v>2209</v>
      </c>
      <c r="C1155" s="730"/>
      <c r="D1155" s="742"/>
      <c r="E1155" s="729"/>
      <c r="F1155" s="729"/>
      <c r="G1155" s="748"/>
      <c r="H1155" s="730"/>
      <c r="I1155" s="734"/>
      <c r="J1155" s="732"/>
      <c r="K1155" s="730"/>
      <c r="L1155" s="733"/>
    </row>
    <row r="1156" spans="1:12" hidden="1" outlineLevel="1" x14ac:dyDescent="0.35">
      <c r="A1156" s="483"/>
      <c r="B1156" s="770" t="s">
        <v>2209</v>
      </c>
      <c r="C1156" s="730"/>
      <c r="D1156" s="742"/>
      <c r="E1156" s="729"/>
      <c r="F1156" s="729"/>
      <c r="G1156" s="748"/>
      <c r="H1156" s="730"/>
      <c r="I1156" s="734"/>
      <c r="J1156" s="732"/>
      <c r="K1156" s="730"/>
      <c r="L1156" s="733"/>
    </row>
    <row r="1157" spans="1:12" hidden="1" outlineLevel="1" x14ac:dyDescent="0.35">
      <c r="A1157" s="483"/>
      <c r="B1157" s="770" t="s">
        <v>2209</v>
      </c>
      <c r="C1157" s="730"/>
      <c r="D1157" s="742"/>
      <c r="E1157" s="729"/>
      <c r="F1157" s="729"/>
      <c r="G1157" s="748"/>
      <c r="H1157" s="730"/>
      <c r="I1157" s="734"/>
      <c r="J1157" s="732"/>
      <c r="K1157" s="730"/>
      <c r="L1157" s="733"/>
    </row>
    <row r="1158" spans="1:12" hidden="1" outlineLevel="1" x14ac:dyDescent="0.35">
      <c r="A1158" s="483"/>
      <c r="B1158" s="770" t="s">
        <v>2209</v>
      </c>
      <c r="C1158" s="730"/>
      <c r="D1158" s="742"/>
      <c r="E1158" s="729"/>
      <c r="F1158" s="729"/>
      <c r="G1158" s="748"/>
      <c r="H1158" s="730"/>
      <c r="I1158" s="734"/>
      <c r="J1158" s="732"/>
      <c r="K1158" s="730"/>
      <c r="L1158" s="733"/>
    </row>
    <row r="1159" spans="1:12" hidden="1" outlineLevel="1" x14ac:dyDescent="0.35">
      <c r="A1159" s="483"/>
      <c r="B1159" s="770" t="s">
        <v>2209</v>
      </c>
      <c r="C1159" s="730"/>
      <c r="D1159" s="742"/>
      <c r="E1159" s="729"/>
      <c r="F1159" s="729"/>
      <c r="G1159" s="748"/>
      <c r="H1159" s="730"/>
      <c r="I1159" s="734"/>
      <c r="J1159" s="732"/>
      <c r="K1159" s="730"/>
      <c r="L1159" s="733"/>
    </row>
    <row r="1160" spans="1:12" hidden="1" outlineLevel="1" x14ac:dyDescent="0.35">
      <c r="A1160" s="483"/>
      <c r="B1160" s="770" t="s">
        <v>2209</v>
      </c>
      <c r="C1160" s="730"/>
      <c r="D1160" s="742"/>
      <c r="E1160" s="729"/>
      <c r="F1160" s="729"/>
      <c r="G1160" s="748"/>
      <c r="H1160" s="730"/>
      <c r="I1160" s="734"/>
      <c r="J1160" s="732"/>
      <c r="K1160" s="730"/>
      <c r="L1160" s="733"/>
    </row>
    <row r="1161" spans="1:12" hidden="1" outlineLevel="1" x14ac:dyDescent="0.35">
      <c r="A1161" s="483"/>
      <c r="B1161" s="770" t="s">
        <v>2209</v>
      </c>
      <c r="C1161" s="730"/>
      <c r="D1161" s="742"/>
      <c r="E1161" s="729"/>
      <c r="F1161" s="729"/>
      <c r="G1161" s="748"/>
      <c r="H1161" s="730"/>
      <c r="I1161" s="734"/>
      <c r="J1161" s="732"/>
      <c r="K1161" s="730"/>
      <c r="L1161" s="733"/>
    </row>
    <row r="1162" spans="1:12" hidden="1" outlineLevel="1" x14ac:dyDescent="0.35">
      <c r="A1162" s="483"/>
      <c r="B1162" s="770" t="s">
        <v>2209</v>
      </c>
      <c r="C1162" s="730"/>
      <c r="D1162" s="742"/>
      <c r="E1162" s="729"/>
      <c r="F1162" s="729"/>
      <c r="G1162" s="748"/>
      <c r="H1162" s="730"/>
      <c r="I1162" s="734"/>
      <c r="J1162" s="732"/>
      <c r="K1162" s="730"/>
      <c r="L1162" s="733"/>
    </row>
    <row r="1163" spans="1:12" hidden="1" outlineLevel="1" x14ac:dyDescent="0.35">
      <c r="A1163" s="483"/>
      <c r="B1163" s="770" t="s">
        <v>2209</v>
      </c>
      <c r="C1163" s="730"/>
      <c r="D1163" s="742"/>
      <c r="E1163" s="729"/>
      <c r="F1163" s="729"/>
      <c r="G1163" s="748"/>
      <c r="H1163" s="730"/>
      <c r="I1163" s="734"/>
      <c r="J1163" s="732"/>
      <c r="K1163" s="730"/>
      <c r="L1163" s="733"/>
    </row>
    <row r="1164" spans="1:12" hidden="1" outlineLevel="1" x14ac:dyDescent="0.35">
      <c r="A1164" s="483"/>
      <c r="B1164" s="770" t="s">
        <v>2209</v>
      </c>
      <c r="C1164" s="730"/>
      <c r="D1164" s="742"/>
      <c r="E1164" s="729"/>
      <c r="F1164" s="729"/>
      <c r="G1164" s="748"/>
      <c r="H1164" s="730"/>
      <c r="I1164" s="734"/>
      <c r="J1164" s="732"/>
      <c r="K1164" s="730"/>
      <c r="L1164" s="733"/>
    </row>
    <row r="1165" spans="1:12" hidden="1" outlineLevel="1" x14ac:dyDescent="0.35">
      <c r="A1165" s="483"/>
      <c r="B1165" s="770" t="s">
        <v>2209</v>
      </c>
      <c r="C1165" s="730"/>
      <c r="D1165" s="742"/>
      <c r="E1165" s="729"/>
      <c r="F1165" s="729"/>
      <c r="G1165" s="748"/>
      <c r="H1165" s="730"/>
      <c r="I1165" s="734"/>
      <c r="J1165" s="732"/>
      <c r="K1165" s="730"/>
      <c r="L1165" s="733"/>
    </row>
    <row r="1166" spans="1:12" hidden="1" outlineLevel="1" x14ac:dyDescent="0.35">
      <c r="A1166" s="483"/>
      <c r="B1166" s="770" t="s">
        <v>2209</v>
      </c>
      <c r="C1166" s="730"/>
      <c r="D1166" s="742"/>
      <c r="E1166" s="729"/>
      <c r="F1166" s="729"/>
      <c r="G1166" s="748"/>
      <c r="H1166" s="730"/>
      <c r="I1166" s="734"/>
      <c r="J1166" s="732"/>
      <c r="K1166" s="730"/>
      <c r="L1166" s="733"/>
    </row>
    <row r="1167" spans="1:12" hidden="1" outlineLevel="1" x14ac:dyDescent="0.35">
      <c r="A1167" s="483"/>
      <c r="B1167" s="770" t="s">
        <v>2209</v>
      </c>
      <c r="C1167" s="730"/>
      <c r="D1167" s="742"/>
      <c r="E1167" s="729"/>
      <c r="F1167" s="729"/>
      <c r="G1167" s="748"/>
      <c r="H1167" s="730"/>
      <c r="I1167" s="734"/>
      <c r="J1167" s="732"/>
      <c r="K1167" s="730"/>
      <c r="L1167" s="733"/>
    </row>
    <row r="1168" spans="1:12" hidden="1" outlineLevel="1" x14ac:dyDescent="0.35">
      <c r="A1168" s="483"/>
      <c r="B1168" s="770" t="s">
        <v>2209</v>
      </c>
      <c r="C1168" s="730"/>
      <c r="D1168" s="742"/>
      <c r="E1168" s="729"/>
      <c r="F1168" s="729"/>
      <c r="G1168" s="748"/>
      <c r="H1168" s="730"/>
      <c r="I1168" s="734"/>
      <c r="J1168" s="732"/>
      <c r="K1168" s="730"/>
      <c r="L1168" s="733"/>
    </row>
    <row r="1169" spans="1:12" hidden="1" outlineLevel="1" x14ac:dyDescent="0.35">
      <c r="A1169" s="483"/>
      <c r="B1169" s="770" t="s">
        <v>2209</v>
      </c>
      <c r="C1169" s="730"/>
      <c r="D1169" s="742"/>
      <c r="E1169" s="729"/>
      <c r="F1169" s="729"/>
      <c r="G1169" s="748"/>
      <c r="H1169" s="730"/>
      <c r="I1169" s="734"/>
      <c r="J1169" s="732"/>
      <c r="K1169" s="730"/>
      <c r="L1169" s="733"/>
    </row>
    <row r="1170" spans="1:12" hidden="1" outlineLevel="1" x14ac:dyDescent="0.35">
      <c r="A1170" s="483"/>
      <c r="B1170" s="770" t="s">
        <v>2209</v>
      </c>
      <c r="C1170" s="730"/>
      <c r="D1170" s="742"/>
      <c r="E1170" s="729"/>
      <c r="F1170" s="729"/>
      <c r="G1170" s="748"/>
      <c r="H1170" s="730"/>
      <c r="I1170" s="734"/>
      <c r="J1170" s="732"/>
      <c r="K1170" s="730"/>
      <c r="L1170" s="733"/>
    </row>
    <row r="1171" spans="1:12" ht="15" hidden="1" outlineLevel="1" thickBot="1" x14ac:dyDescent="0.4">
      <c r="A1171" s="483"/>
      <c r="B1171" s="771" t="s">
        <v>2209</v>
      </c>
      <c r="C1171" s="735"/>
      <c r="D1171" s="749"/>
      <c r="E1171" s="750"/>
      <c r="F1171" s="750"/>
      <c r="G1171" s="751"/>
      <c r="H1171" s="735"/>
      <c r="I1171" s="737"/>
      <c r="J1171" s="738"/>
      <c r="K1171" s="735"/>
      <c r="L1171" s="739"/>
    </row>
    <row r="1172" spans="1:12" ht="15" collapsed="1" thickTop="1" x14ac:dyDescent="0.35">
      <c r="B1172" s="2"/>
    </row>
  </sheetData>
  <mergeCells count="5">
    <mergeCell ref="S2:U2"/>
    <mergeCell ref="S3:U3"/>
    <mergeCell ref="N2:Q2"/>
    <mergeCell ref="N3:Q3"/>
    <mergeCell ref="C74:I74"/>
  </mergeCells>
  <phoneticPr fontId="55" type="noConversion"/>
  <dataValidations count="37">
    <dataValidation type="textLength" errorStyle="warning" operator="equal" allowBlank="1" showInputMessage="1" showErrorMessage="1" errorTitle="Validación de datos" error="Debe ingresar los 3 caracteres correspondientes, que indiquen sus establecimientos activos en el SRI" sqref="D10:I19 H21:I21 E21:F21 D22:I22" xr:uid="{00000000-0002-0000-0000-000001000000}">
      <formula1>3</formula1>
    </dataValidation>
    <dataValidation type="list" allowBlank="1" showInputMessage="1" showErrorMessage="1" sqref="D24" xr:uid="{323ED74D-8366-441C-A586-5FDA5E93644B}">
      <formula1>"SERVER_1,SERVER_2,SERVER_3"</formula1>
    </dataValidation>
    <dataValidation type="list" allowBlank="1" showInputMessage="1" showErrorMessage="1" errorTitle="SRI Anexos" error="Debe ingresar un valor correcto para el Tipo de Ambiente" sqref="D46" xr:uid="{1CFCDE35-BA82-4124-91FE-C1E267D75A2E}">
      <formula1>"1-PRUEBAS,2-PRODUCCION"</formula1>
    </dataValidation>
    <dataValidation type="textLength" operator="lessThanOrEqual" allowBlank="1" showInputMessage="1" showErrorMessage="1" errorTitle="FactelExcel" error="Debe ingresar un valor correcto para el Nombre Comercial" sqref="D35:I35" xr:uid="{C8CF2882-8C1C-44B6-8859-A2A775971E28}">
      <formula1>300</formula1>
    </dataValidation>
    <dataValidation type="list" allowBlank="1" showInputMessage="1" showErrorMessage="1" sqref="JC99:JE99 SY99:TA99 ACU99:ACW99 AMQ99:AMS99 AWM99:AWO99 BGI99:BGK99 BQE99:BQG99 CAA99:CAC99 CJW99:CJY99 CTS99:CTU99 DDO99:DDQ99 DNK99:DNM99 DXG99:DXI99 EHC99:EHE99 EQY99:ERA99 FAU99:FAW99 FKQ99:FKS99 FUM99:FUO99 GEI99:GEK99 GOE99:GOG99 GYA99:GYC99 HHW99:HHY99 HRS99:HRU99 IBO99:IBQ99 ILK99:ILM99 IVG99:IVI99 JFC99:JFE99 JOY99:JPA99 JYU99:JYW99 KIQ99:KIS99 KSM99:KSO99 LCI99:LCK99 LME99:LMG99 LWA99:LWC99 MFW99:MFY99 MPS99:MPU99 MZO99:MZQ99 NJK99:NJM99 NTG99:NTI99 ODC99:ODE99 OMY99:ONA99 OWU99:OWW99 PGQ99:PGS99 PQM99:PQO99 QAI99:QAK99 QKE99:QKG99 QUA99:QUC99 RDW99:RDY99 RNS99:RNU99 RXO99:RXQ99 SHK99:SHM99 SRG99:SRI99 TBC99:TBE99 TKY99:TLA99 TUU99:TUW99 UEQ99:UES99 UOM99:UOO99 UYI99:UYK99 VIE99:VIG99 VSA99:VSC99 WBW99:WBY99 WLS99:WLU99 WLS63:WLU75 WVO99:WVQ99 WBW89:WBY95 VSA89:VSC95 VIE89:VIG95 UYI89:UYK95 UOM89:UOO95 UEQ89:UES95 TUU89:TUW95 TKY89:TLA95 TBC89:TBE95 SRG89:SRI95 SHK89:SHM95 RXO89:RXQ95 RNS89:RNU95 RDW89:RDY95 QUA89:QUC95 QKE89:QKG95 QAI89:QAK95 PQM89:PQO95 PGQ89:PGS95 OWU89:OWW95 OMY89:ONA95 ODC89:ODE95 NTG89:NTI95 NJK89:NJM95 MZO89:MZQ95 MPS89:MPU95 MFW89:MFY95 LWA89:LWC95 LME89:LMG95 LCI89:LCK95 KSM89:KSO95 KIQ89:KIS95 JYU89:JYW95 JOY89:JPA95 JFC89:JFE95 IVG89:IVI95 ILK89:ILM95 IBO89:IBQ95 HRS89:HRU95 HHW89:HHY95 GYA89:GYC95 GOE89:GOG95 GEI89:GEK95 FUM89:FUO95 FKQ89:FKS95 FAU89:FAW95 EQY89:ERA95 EHC89:EHE95 DXG89:DXI95 DNK89:DNM95 DDO89:DDQ95 CTS89:CTU95 CJW89:CJY95 CAA89:CAC95 BQE89:BQG95 BGI89:BGK95 AWM89:AWO95 AMQ89:AMS95 ACU89:ACW95 SY89:TA95 JC89:JE95 WVO89:WVQ95 WLS89:WLU95 WVO63:WVQ75 JC63:JE75 SY63:TA75 ACU63:ACW75 AMQ63:AMS75 AWM63:AWO75 BGI63:BGK75 BQE63:BQG75 CAA63:CAC75 CJW63:CJY75 CTS63:CTU75 DDO63:DDQ75 DNK63:DNM75 DXG63:DXI75 EHC63:EHE75 EQY63:ERA75 FAU63:FAW75 FKQ63:FKS75 FUM63:FUO75 GEI63:GEK75 GOE63:GOG75 GYA63:GYC75 HHW63:HHY75 HRS63:HRU75 IBO63:IBQ75 ILK63:ILM75 IVG63:IVI75 JFC63:JFE75 JOY63:JPA75 JYU63:JYW75 KIQ63:KIS75 KSM63:KSO75 LCI63:LCK75 LME63:LMG75 LWA63:LWC75 MFW63:MFY75 MPS63:MPU75 MZO63:MZQ75 NJK63:NJM75 NTG63:NTI75 ODC63:ODE75 OMY63:ONA75 OWU63:OWW75 PGQ63:PGS75 PQM63:PQO75 QAI63:QAK75 QKE63:QKG75 QUA63:QUC75 RDW63:RDY75 RNS63:RNU75 RXO63:RXQ75 SHK63:SHM75 SRG63:SRI75 TBC63:TBE75 TKY63:TLA75 TUU63:TUW75 UEQ63:UES75 UOM63:UOO75 UYI63:UYK75 VIE63:VIG75 VSA63:VSC75 WBW63:WBY75 WBW80:WBY82 VSA80:VSC82 VIE80:VIG82 UYI80:UYK82 UOM80:UOO82 UEQ80:UES82 TUU80:TUW82 TKY80:TLA82 TBC80:TBE82 SRG80:SRI82 SHK80:SHM82 RXO80:RXQ82 RNS80:RNU82 RDW80:RDY82 QUA80:QUC82 QKE80:QKG82 QAI80:QAK82 PQM80:PQO82 PGQ80:PGS82 OWU80:OWW82 OMY80:ONA82 ODC80:ODE82 NTG80:NTI82 NJK80:NJM82 MZO80:MZQ82 MPS80:MPU82 MFW80:MFY82 LWA80:LWC82 LME80:LMG82 LCI80:LCK82 KSM80:KSO82 KIQ80:KIS82 JYU80:JYW82 JOY80:JPA82 JFC80:JFE82 IVG80:IVI82 ILK80:ILM82 IBO80:IBQ82 HRS80:HRU82 HHW80:HHY82 GYA80:GYC82 GOE80:GOG82 GEI80:GEK82 FUM80:FUO82 FKQ80:FKS82 FAU80:FAW82 EQY80:ERA82 EHC80:EHE82 DXG80:DXI82 DNK80:DNM82 DDO80:DDQ82 CTS80:CTU82 CJW80:CJY82 CAA80:CAC82 BQE80:BQG82 BGI80:BGK82 AWM80:AWO82 AMQ80:AMS82 ACU80:ACW82 SY80:TA82 JC80:JE82 WVO80:WVQ82 WLS80:WLU82" xr:uid="{7F9B1A12-0126-430E-8590-04A9EB5A7A14}">
      <formula1>"1-Guardar XML,2-Guardar y Firmar XML,3-Guardar Firmar y Enviar al SRI"</formula1>
    </dataValidation>
    <dataValidation type="list" allowBlank="1" showInputMessage="1" showErrorMessage="1" sqref="D83:D84" xr:uid="{72D53933-471E-4258-A304-8A0DFCDE8FD1}">
      <formula1>pagos</formula1>
    </dataValidation>
    <dataValidation type="list" allowBlank="1" showInputMessage="1" showErrorMessage="1" sqref="D20" xr:uid="{C64FE39B-B1AC-42BB-943E-F8F5BE939F27}">
      <formula1>"2016,2017,2018,2019,2020,2021,2022,2023,2024,2025"</formula1>
    </dataValidation>
    <dataValidation type="textLength" allowBlank="1" showInputMessage="1" showErrorMessage="1" errorTitle="FactelExcel" error="Debe ingresar un valor correcto para No. Resolucion Contribuyente Especial" sqref="D46" xr:uid="{BFB82442-C1AB-48A6-9088-12AA4FA335CD}">
      <formula1>3</formula1>
      <formula2>5</formula2>
    </dataValidation>
    <dataValidation type="list" allowBlank="1" showInputMessage="1" showErrorMessage="1" errorTitle="FactelExcel" error="Debe ingresar un valor correcto para esta celda" sqref="D46" xr:uid="{C6D0369D-BD84-4155-9C47-83C5F9D9440D}">
      <formula1>"SI,NO"</formula1>
    </dataValidation>
    <dataValidation type="textLength" operator="lessThanOrEqual" allowBlank="1" showInputMessage="1" showErrorMessage="1" errorTitle="FactelExcel" error="Debe ingresar un valor correcto para la Direccion Matriz" sqref="D46 D67 D36:I38" xr:uid="{E0762E23-8A6B-4096-8989-45DE0FA0639E}">
      <formula1>300</formula1>
    </dataValidation>
    <dataValidation type="list" allowBlank="1" showInputMessage="1" showErrorMessage="1" errorTitle="SRI Anexos" error="Debe ingresar un valor correcto para esta celda" sqref="D92:D94 D72 D66 D42:D43 D64 D79:D82" xr:uid="{F18567D5-1ECC-4867-B5A1-9CFF9DFA24B2}">
      <formula1>"SI,NO"</formula1>
    </dataValidation>
    <dataValidation type="list" operator="lessThanOrEqual" allowBlank="1" showInputMessage="1" showErrorMessage="1" errorTitle="FactelExcel" error="Debe ingresar un valor correcto para la Direccion Matriz" sqref="D92:D94 D72 D66 D42:D43 D64 D79:D82" xr:uid="{0BF545BC-0328-476F-AD6F-9E289E0C2765}">
      <formula1>"SI, NO"</formula1>
    </dataValidation>
    <dataValidation type="list" allowBlank="1" showInputMessage="1" showErrorMessage="1" errorTitle="SRI Anexos" error="Debe ingresar un valor correcto para esta celda" sqref="D92 D83:D84" xr:uid="{8707DA35-8061-4A30-9C3E-343A5980D7AB}">
      <formula1>"Version 1.0.0, Version 2.0.0"</formula1>
    </dataValidation>
    <dataValidation type="list" operator="lessThanOrEqual" allowBlank="1" showInputMessage="1" showErrorMessage="1" errorTitle="FactelExcel" error="Debe ingresar un valor correcto para la Direccion Matriz" sqref="D92 D83:D84" xr:uid="{F22CCB5A-3942-42DC-8CAE-300F24078DA4}">
      <formula1>"Version1.0,Version2.0"</formula1>
    </dataValidation>
    <dataValidation type="list" allowBlank="1" showInputMessage="1" showErrorMessage="1" sqref="D76:D77" xr:uid="{50508C53-A1CE-4A12-9D6A-E1B69BAF159B}">
      <formula1>"2,3,4,5,6"</formula1>
    </dataValidation>
    <dataValidation type="list" allowBlank="1" showInputMessage="1" showErrorMessage="1" errorTitle="SRI Anexos" error="Debe ingresar un valor correcto para esta celda" sqref="D78" xr:uid="{AE9601CF-17C4-4B99-9D7A-28EA792D11F6}">
      <formula1>"SI,NO,Preguntar,Previsualizar"</formula1>
    </dataValidation>
    <dataValidation type="list" operator="lessThanOrEqual" allowBlank="1" showInputMessage="1" showErrorMessage="1" errorTitle="SRI Anexos" error="Debe ingresar un valor correcto para la Direccion Matriz" sqref="D78" xr:uid="{CD710C18-6563-4266-9B08-6FA314E36E5D}">
      <formula1>"SI, NO, Preguntar"</formula1>
    </dataValidation>
    <dataValidation type="textLength" operator="equal" allowBlank="1" showInputMessage="1" showErrorMessage="1" errorTitle="FactelExcel" error="Debe ingresar un valor correcto para el Codigo de Establecimiento" sqref="D46" xr:uid="{5630761A-15A1-412F-9E54-A399F8817124}">
      <formula1>7</formula1>
    </dataValidation>
    <dataValidation type="list" allowBlank="1" showInputMessage="1" showErrorMessage="1" errorTitle="SRI Anexos" error="Debe ingresar un valor correcto para esta celda" sqref="D65" xr:uid="{BA7DE827-D232-46F7-AD63-92B94DC972CD}">
      <formula1>"MS-OUTLOOK,EMPRESARIAL"</formula1>
    </dataValidation>
    <dataValidation type="list" operator="lessThanOrEqual" allowBlank="1" showInputMessage="1" showErrorMessage="1" errorTitle="FactelExcel" error="Debe ingresar un valor correcto para la Direccion Matriz" sqref="D65" xr:uid="{8226BD34-FD06-49BF-A357-92AD6441688B}">
      <formula1>"CorreoOutlook,ServidorEmpresarial"</formula1>
    </dataValidation>
    <dataValidation type="list" allowBlank="1" showInputMessage="1" showErrorMessage="1" sqref="D49" xr:uid="{32CA2B99-97F0-4B67-809F-797B7F15010E}">
      <formula1>"NORMAL01a,NORMAL01b,NORMAL01c"</formula1>
    </dataValidation>
    <dataValidation type="list" allowBlank="1" showInputMessage="1" showErrorMessage="1" sqref="D50" xr:uid="{3E4CA381-FBA6-4125-A8D2-C69AF977FFF9}">
      <formula1>"RIDE01a,RIDE01b,RIDE01c"</formula1>
    </dataValidation>
    <dataValidation type="list" allowBlank="1" showInputMessage="1" showErrorMessage="1" sqref="E49" xr:uid="{9D7D0D75-035E-438B-AC73-C1BED6DB030A}">
      <formula1>"NORMAL03a,NORMAL03b,NORMAL03c"</formula1>
    </dataValidation>
    <dataValidation type="list" allowBlank="1" showInputMessage="1" showErrorMessage="1" sqref="E50" xr:uid="{9B892992-011E-4CB5-A890-44984BB0598B}">
      <formula1>"RIDE03a,RIDE03b,RIDE03c"</formula1>
    </dataValidation>
    <dataValidation type="list" allowBlank="1" showInputMessage="1" showErrorMessage="1" sqref="F49" xr:uid="{C73A3CE3-87AC-455B-A9A2-2BFF6BC28A44}">
      <formula1>"NORMAL04a,NORMAL04b,NORMAL04c"</formula1>
    </dataValidation>
    <dataValidation type="list" allowBlank="1" showInputMessage="1" showErrorMessage="1" sqref="F50" xr:uid="{749B50F6-CF08-4D19-8F98-419CCFE4408F}">
      <formula1>"RIDE04a,RIDE04b,RIDE04c"</formula1>
    </dataValidation>
    <dataValidation type="list" allowBlank="1" showInputMessage="1" showErrorMessage="1" sqref="G49" xr:uid="{BE8C4A9F-707B-4A33-806B-FFFA96CF8C6D}">
      <formula1>"NORMAL05a,NORMAL05b,NORMAL05c"</formula1>
    </dataValidation>
    <dataValidation type="list" allowBlank="1" showInputMessage="1" showErrorMessage="1" sqref="G50" xr:uid="{27209F9A-70D1-4119-A143-2297DE36CFB5}">
      <formula1>"RIDE05a,RIDE05b,RIDE05c"</formula1>
    </dataValidation>
    <dataValidation type="list" allowBlank="1" showInputMessage="1" showErrorMessage="1" sqref="H49" xr:uid="{02B728C7-8081-4ABD-8950-47CD3B2CBF83}">
      <formula1>"NORMAL07a,NORMAL07b,NORMAL07c"</formula1>
    </dataValidation>
    <dataValidation type="list" allowBlank="1" showInputMessage="1" showErrorMessage="1" sqref="H50" xr:uid="{387B9A1D-83C5-4C72-B4BD-FEBE1AE57A7F}">
      <formula1>"RIDE07a,RIDE07b,RIDE07c"</formula1>
    </dataValidation>
    <dataValidation type="list" allowBlank="1" showInputMessage="1" showErrorMessage="1" sqref="I49" xr:uid="{01ADE4F7-CE1F-4749-B745-2063A42BD41F}">
      <formula1>"NORMAL06a,NORMAL06b,NORMAL06c"</formula1>
    </dataValidation>
    <dataValidation type="list" allowBlank="1" showInputMessage="1" showErrorMessage="1" sqref="I50" xr:uid="{BF083ACC-D420-4CF5-9E4F-E46F0CD2A09B}">
      <formula1>"RIDE06a,RIDE06b,RIDE06c"</formula1>
    </dataValidation>
    <dataValidation type="list" allowBlank="1" showInputMessage="1" showErrorMessage="1" sqref="D21" xr:uid="{2F900DC5-53FB-4BFB-8F85-329C24463F32}">
      <formula1>"MENSUAL,SEMESTRAL"</formula1>
    </dataValidation>
    <dataValidation type="list" allowBlank="1" showInputMessage="1" showErrorMessage="1" errorTitle="SRI Anexos" error="Debe ingresar un valor correcto para esta celda" sqref="D39 D42:D43" xr:uid="{167B81D2-3D27-4741-BEFC-A08E5B834714}">
      <formula1>"GENERAL,RIMPE EMPRENDEDOR,RIMPE NEGOCIO POPULAR,MICROEMPRESA"</formula1>
    </dataValidation>
    <dataValidation type="list" operator="lessThanOrEqual" allowBlank="1" showInputMessage="1" showErrorMessage="1" errorTitle="FactelExcel" error="Debe ingresar un valor correcto para la Direccion Matriz" sqref="D39 D42:D43" xr:uid="{7ECF58FF-1E5C-4115-B7D8-6DD6E45DB5D2}">
      <formula1>"GENERAL,RIMPE,MICROEMPRESA"</formula1>
    </dataValidation>
    <dataValidation type="list" allowBlank="1" showInputMessage="1" showErrorMessage="1" sqref="H1109:H1120" xr:uid="{E8EA143F-CC24-494B-9570-6813D351147B}">
      <formula1>"SI,NO"</formula1>
    </dataValidation>
    <dataValidation type="list" allowBlank="1" showInputMessage="1" showErrorMessage="1" sqref="F125:F134" xr:uid="{5DD2CEEB-D74E-4DCE-8FA3-753C277A863F}">
      <formula1>"IVA-NOR,IVA-NOR*,IVA-ESP,IVA-ESP*,IVA-CONS,IVA-CONS*"</formula1>
    </dataValidation>
  </dataValidations>
  <hyperlinks>
    <hyperlink ref="D67" r:id="rId1" xr:uid="{C1F39D30-E442-4A5E-9FB5-64018C117100}"/>
    <hyperlink ref="D70" r:id="rId2" xr:uid="{29A7A8F5-0011-4273-9823-1F28B505BAE4}"/>
    <hyperlink ref="D38" r:id="rId3" xr:uid="{4834CB21-5B57-45AD-80F2-61D113109113}"/>
  </hyperlinks>
  <pageMargins left="0.7" right="0.7" top="0.75" bottom="0.75" header="0.3" footer="0.3"/>
  <pageSetup paperSize="9" orientation="portrait"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391D04-9B93-4AE0-80B7-2447E5BB7B78}">
  <sheetPr codeName="Hoja17">
    <pageSetUpPr fitToPage="1"/>
  </sheetPr>
  <dimension ref="A1:AW414"/>
  <sheetViews>
    <sheetView showGridLines="0" zoomScale="85" zoomScaleNormal="85" workbookViewId="0">
      <pane xSplit="6" ySplit="3" topLeftCell="G4" activePane="bottomRight" state="frozen"/>
      <selection activeCell="T11" sqref="T11"/>
      <selection pane="topRight" activeCell="T11" sqref="T11"/>
      <selection pane="bottomLeft" activeCell="T11" sqref="T11"/>
      <selection pane="bottomRight" activeCell="G4" sqref="G4"/>
    </sheetView>
  </sheetViews>
  <sheetFormatPr baseColWidth="10" defaultColWidth="11.453125" defaultRowHeight="12.5" outlineLevelRow="1" outlineLevelCol="2" x14ac:dyDescent="0.25"/>
  <cols>
    <col min="1" max="1" width="1.1796875" style="263" customWidth="1"/>
    <col min="2" max="2" width="10.54296875" style="263" customWidth="1"/>
    <col min="3" max="3" width="10" style="263" customWidth="1"/>
    <col min="4" max="4" width="0.54296875" style="263" customWidth="1"/>
    <col min="5" max="5" width="11.1796875" style="263" hidden="1" customWidth="1" outlineLevel="1"/>
    <col min="6" max="6" width="11.81640625" style="263" hidden="1" customWidth="1" outlineLevel="1"/>
    <col min="7" max="7" width="13.81640625" style="263" customWidth="1" collapsed="1"/>
    <col min="8" max="8" width="12" style="263" hidden="1" customWidth="1" outlineLevel="1"/>
    <col min="9" max="9" width="10.453125" style="263" hidden="1" customWidth="1" outlineLevel="1"/>
    <col min="10" max="10" width="11.453125" style="263" customWidth="1" collapsed="1"/>
    <col min="11" max="11" width="13.81640625" style="263" customWidth="1"/>
    <col min="12" max="12" width="12.7265625" style="263" hidden="1" customWidth="1" outlineLevel="1"/>
    <col min="13" max="13" width="10.81640625" style="263" hidden="1" customWidth="1" outlineLevel="1"/>
    <col min="14" max="14" width="2" style="263" customWidth="1" collapsed="1"/>
    <col min="15" max="15" width="10.81640625" style="263" hidden="1" customWidth="1" outlineLevel="1"/>
    <col min="16" max="16" width="12.453125" style="263" hidden="1" customWidth="1" outlineLevel="1"/>
    <col min="17" max="17" width="13.81640625" style="263" customWidth="1" collapsed="1"/>
    <col min="18" max="18" width="12.54296875" style="263" hidden="1" customWidth="1" outlineLevel="1"/>
    <col min="19" max="20" width="10.81640625" style="263" hidden="1" customWidth="1" outlineLevel="1"/>
    <col min="21" max="21" width="12.1796875" style="263" customWidth="1" collapsed="1"/>
    <col min="22" max="22" width="13.81640625" style="263" customWidth="1"/>
    <col min="23" max="23" width="10.81640625" style="263" customWidth="1" outlineLevel="1"/>
    <col min="24" max="25" width="9.54296875" style="263" customWidth="1" outlineLevel="1"/>
    <col min="26" max="26" width="2.1796875" style="263" customWidth="1"/>
    <col min="27" max="27" width="8.81640625" style="263" customWidth="1" outlineLevel="1"/>
    <col min="28" max="28" width="12.1796875" style="263" customWidth="1" outlineLevel="1"/>
    <col min="29" max="30" width="12.1796875" style="263" customWidth="1" outlineLevel="2"/>
    <col min="31" max="32" width="10.81640625" style="263" customWidth="1" outlineLevel="1"/>
    <col min="33" max="33" width="11.453125" style="263" customWidth="1" outlineLevel="1"/>
    <col min="34" max="35" width="10.26953125" style="263" customWidth="1" outlineLevel="1"/>
    <col min="36" max="36" width="2" style="263" customWidth="1"/>
    <col min="37" max="37" width="11.453125" style="263"/>
    <col min="38" max="38" width="10.54296875" style="263" customWidth="1"/>
    <col min="39" max="39" width="11.453125" style="263"/>
    <col min="40" max="40" width="2.1796875" style="263" customWidth="1"/>
    <col min="41" max="41" width="12.1796875" style="263" customWidth="1"/>
    <col min="42" max="42" width="10.7265625" style="263" customWidth="1"/>
    <col min="43" max="43" width="11.453125" style="263"/>
    <col min="44" max="44" width="11.81640625" style="263" bestFit="1" customWidth="1"/>
    <col min="45" max="16384" width="11.453125" style="263"/>
  </cols>
  <sheetData>
    <row r="1" spans="2:49" ht="27.75" customHeight="1" x14ac:dyDescent="0.45">
      <c r="B1" s="283" t="str">
        <f>Parametros!D4&amp;" - " &amp; Parametros!D5</f>
        <v>1306304542001 - VELIZ NAPA JAVIER</v>
      </c>
      <c r="C1" s="284"/>
      <c r="D1" s="284"/>
      <c r="E1" s="284"/>
      <c r="F1" s="284"/>
      <c r="G1" s="284"/>
      <c r="H1" s="284"/>
      <c r="I1" s="284"/>
      <c r="J1" s="284"/>
      <c r="K1" s="284"/>
      <c r="L1" s="284"/>
      <c r="M1" s="284"/>
      <c r="N1" s="285"/>
      <c r="O1" s="284"/>
      <c r="AO1" s="926" t="s">
        <v>1572</v>
      </c>
      <c r="AP1" s="926"/>
    </row>
    <row r="2" spans="2:49" s="286" customFormat="1" ht="22.5" customHeight="1" x14ac:dyDescent="0.45">
      <c r="B2" s="284"/>
      <c r="C2" s="284"/>
      <c r="D2" s="284"/>
      <c r="E2" s="934" t="s">
        <v>1240</v>
      </c>
      <c r="F2" s="934"/>
      <c r="G2" s="934"/>
      <c r="H2" s="934"/>
      <c r="I2" s="934"/>
      <c r="J2" s="934"/>
      <c r="K2" s="934"/>
      <c r="L2" s="935" t="s">
        <v>1241</v>
      </c>
      <c r="M2" s="929" t="s">
        <v>1242</v>
      </c>
      <c r="N2" s="284"/>
      <c r="O2" s="934" t="s">
        <v>1243</v>
      </c>
      <c r="P2" s="934"/>
      <c r="Q2" s="934"/>
      <c r="R2" s="934"/>
      <c r="S2" s="934"/>
      <c r="T2" s="934"/>
      <c r="U2" s="934"/>
      <c r="V2" s="934"/>
      <c r="W2" s="929" t="s">
        <v>1244</v>
      </c>
      <c r="X2" s="929" t="s">
        <v>1245</v>
      </c>
      <c r="Y2" s="929" t="s">
        <v>2173</v>
      </c>
      <c r="Z2" s="263"/>
      <c r="AA2" s="937" t="s">
        <v>1246</v>
      </c>
      <c r="AB2" s="937" t="s">
        <v>1247</v>
      </c>
      <c r="AC2" s="937" t="s">
        <v>1248</v>
      </c>
      <c r="AD2" s="929" t="s">
        <v>1249</v>
      </c>
      <c r="AE2" s="939" t="s">
        <v>1250</v>
      </c>
      <c r="AF2" s="940"/>
      <c r="AG2" s="929" t="s">
        <v>1251</v>
      </c>
      <c r="AH2" s="927" t="s">
        <v>1252</v>
      </c>
      <c r="AI2" s="928"/>
      <c r="AJ2" s="263"/>
      <c r="AK2" s="929" t="s">
        <v>1253</v>
      </c>
      <c r="AL2" s="929" t="s">
        <v>1254</v>
      </c>
      <c r="AM2" s="929" t="s">
        <v>1255</v>
      </c>
      <c r="AN2" s="263"/>
      <c r="AO2" s="931" t="s">
        <v>1563</v>
      </c>
      <c r="AP2" s="932"/>
      <c r="AQ2" s="933"/>
      <c r="AW2"/>
    </row>
    <row r="3" spans="2:49" s="286" customFormat="1" ht="64" customHeight="1" thickBot="1" x14ac:dyDescent="0.5">
      <c r="B3" s="287" t="s">
        <v>1256</v>
      </c>
      <c r="C3" s="288" t="s">
        <v>1257</v>
      </c>
      <c r="D3" s="284"/>
      <c r="E3" s="289" t="s">
        <v>1571</v>
      </c>
      <c r="F3" s="289" t="s">
        <v>1258</v>
      </c>
      <c r="G3" s="289" t="s">
        <v>1259</v>
      </c>
      <c r="H3" s="289" t="s">
        <v>1568</v>
      </c>
      <c r="I3" s="289" t="s">
        <v>1569</v>
      </c>
      <c r="J3" s="290" t="s">
        <v>1570</v>
      </c>
      <c r="K3" s="289" t="s">
        <v>1260</v>
      </c>
      <c r="L3" s="936"/>
      <c r="M3" s="930"/>
      <c r="N3" s="284"/>
      <c r="O3" s="290" t="s">
        <v>1261</v>
      </c>
      <c r="P3" s="290" t="s">
        <v>1262</v>
      </c>
      <c r="Q3" s="290" t="s">
        <v>1263</v>
      </c>
      <c r="R3" s="290" t="s">
        <v>1566</v>
      </c>
      <c r="S3" s="290" t="s">
        <v>1264</v>
      </c>
      <c r="T3" s="290" t="s">
        <v>1265</v>
      </c>
      <c r="U3" s="290" t="s">
        <v>1266</v>
      </c>
      <c r="V3" s="290" t="s">
        <v>1267</v>
      </c>
      <c r="W3" s="930"/>
      <c r="X3" s="930"/>
      <c r="Y3" s="930"/>
      <c r="Z3" s="263"/>
      <c r="AA3" s="938"/>
      <c r="AB3" s="938"/>
      <c r="AC3" s="938"/>
      <c r="AD3" s="930"/>
      <c r="AE3" s="291" t="s">
        <v>1268</v>
      </c>
      <c r="AF3" s="291" t="s">
        <v>1269</v>
      </c>
      <c r="AG3" s="930"/>
      <c r="AH3" s="291" t="s">
        <v>1268</v>
      </c>
      <c r="AI3" s="292" t="s">
        <v>1269</v>
      </c>
      <c r="AJ3" s="263"/>
      <c r="AK3" s="930"/>
      <c r="AL3" s="930"/>
      <c r="AM3" s="930"/>
      <c r="AN3" s="263"/>
      <c r="AO3" s="290" t="s">
        <v>1564</v>
      </c>
      <c r="AP3" s="290" t="s">
        <v>1565</v>
      </c>
      <c r="AQ3" s="461" t="s">
        <v>1567</v>
      </c>
    </row>
    <row r="4" spans="2:49" ht="15" thickBot="1" x14ac:dyDescent="0.4">
      <c r="B4" s="293"/>
      <c r="C4" s="294"/>
      <c r="E4" s="295"/>
      <c r="F4" s="295"/>
      <c r="G4" s="295"/>
      <c r="H4" s="295"/>
      <c r="I4" s="295"/>
      <c r="J4" s="295"/>
      <c r="K4" s="295"/>
      <c r="L4" s="295"/>
      <c r="M4" s="294"/>
      <c r="O4" s="295"/>
      <c r="P4" s="295"/>
      <c r="Q4" s="295"/>
      <c r="R4" s="295"/>
      <c r="S4" s="295"/>
      <c r="T4" s="546"/>
      <c r="U4" s="295"/>
      <c r="V4" s="295"/>
      <c r="W4" s="294"/>
      <c r="X4" s="294"/>
      <c r="Y4" s="294"/>
      <c r="AA4" s="295"/>
      <c r="AB4" s="295"/>
      <c r="AC4" s="295"/>
      <c r="AD4" s="294"/>
      <c r="AE4" s="296">
        <v>0</v>
      </c>
      <c r="AF4" s="296">
        <v>0</v>
      </c>
      <c r="AG4" s="464" t="s">
        <v>1579</v>
      </c>
      <c r="AH4" s="266"/>
      <c r="AI4" s="266"/>
      <c r="AK4" s="266"/>
      <c r="AL4" s="294"/>
      <c r="AM4" s="294"/>
      <c r="AO4" s="295"/>
      <c r="AP4" s="295"/>
      <c r="AQ4" s="294"/>
      <c r="AW4"/>
    </row>
    <row r="5" spans="2:49" ht="14.5" x14ac:dyDescent="0.35">
      <c r="B5" s="297">
        <f>VALUE("01/01/"&amp;XLSperiodo)</f>
        <v>45658</v>
      </c>
      <c r="C5" s="298">
        <f>IF(Parametros!D21="SEMESTRAL","I-Semestre",1)</f>
        <v>1</v>
      </c>
      <c r="D5" s="263">
        <f>SUMIF(VENTAS!BE:BE,MONTH(B5),VENTAS!CA:CA)</f>
        <v>0</v>
      </c>
      <c r="E5" s="299">
        <f>SUMIF(VENTAS!BE:BE,MONTH(B5),VENTAS!BJ:BJ)+SUMIF(EXPORTACIONES!AL:AL,MONTH(B5),EXPORTACIONES!AF:AF)</f>
        <v>0</v>
      </c>
      <c r="F5" s="299">
        <f>SUMIF(VENTAS!BE:BE,MONTH(B5),VENTAS!P:P)+SUMIF(VENTAS!BE:BE,MONTH(B5),VENTAS!S:S)+SUMIF(VENTAS!BE:BE,MONTH(B5),VENTAS!V:V)</f>
        <v>0</v>
      </c>
      <c r="G5" s="300">
        <f t="shared" ref="G5:G16" si="0">E5+F5</f>
        <v>0</v>
      </c>
      <c r="H5" s="300">
        <f>ROUND(SUMIF(VENTAS!BE:BE,MONTH(B5),VENTAS!BK:BK),2)</f>
        <v>0</v>
      </c>
      <c r="I5" s="301">
        <f>ROUND(SUMIF(VENTAS!BE:BE,MONTH(B5),VENTAS!BL:BL),2)</f>
        <v>0</v>
      </c>
      <c r="J5" s="301">
        <f>SUM(H5:I5)</f>
        <v>0</v>
      </c>
      <c r="K5" s="302">
        <f>G5+J5</f>
        <v>0</v>
      </c>
      <c r="L5" s="299">
        <f>SUMIF(VENTAS!BE:BE,MONTH(B5),VENTAS!AR:AR)</f>
        <v>0</v>
      </c>
      <c r="M5" s="299">
        <f>SUMIF(VENTAS!BE:BE,MONTH(B5),VENTAS!AS:AS)</f>
        <v>0</v>
      </c>
      <c r="O5" s="299">
        <f>SUMIF(COMPRAS!DB:DB,MONTH(B5),COMPRAS!DH:DH)</f>
        <v>0</v>
      </c>
      <c r="P5" s="299">
        <f>SUMIF(COMPRAS!DB:DB,MONTH(B5),COMPRAS!X:X)+SUMIF(COMPRAS!DB:DB,MONTH(B5),COMPRAS!AA:AA)+SUMIF(COMPRAS!DB:DB,MONTH(B5),COMPRAS!AD:AD)</f>
        <v>0</v>
      </c>
      <c r="Q5" s="300">
        <f t="shared" ref="Q5:Q16" si="1">O5+P5</f>
        <v>0</v>
      </c>
      <c r="R5" s="299">
        <f>ROUND(SUMIF(COMPRAS!DB:DB,MONTH(B5),COMPRAS!DI:DI),2)</f>
        <v>0</v>
      </c>
      <c r="S5" s="299">
        <f>ROUND(SUMIF(COMPRAS!DB:DB,MONTH(B5),COMPRAS!DJ:DJ),2)</f>
        <v>0</v>
      </c>
      <c r="T5" s="299">
        <f>ROUND(SUMIF(COMPRAS!DB:DB,MONTH(B5),COMPRAS!DK:DK),2)</f>
        <v>0</v>
      </c>
      <c r="U5" s="300">
        <f>SUM(R5:T5)</f>
        <v>0</v>
      </c>
      <c r="V5" s="302">
        <f t="shared" ref="V5:V16" si="2">Q5+U5</f>
        <v>0</v>
      </c>
      <c r="W5" s="299">
        <f>ROUND(SUMIF(COMPRAS!DB:DB,MONTH(B5),COMPRAS!DL:DL),2)</f>
        <v>0</v>
      </c>
      <c r="X5" s="299">
        <f>ROUND(SUMIF(COMPRAS!DB:DB,MONTH(B5),COMPRAS!DN:DN),2)</f>
        <v>0</v>
      </c>
      <c r="Y5" s="299">
        <f>ROUND(SUMIF(COMPRAS!DB:DB,MONTH(B5),COMPRAS!DM:DM),2)</f>
        <v>0</v>
      </c>
      <c r="AA5" s="303">
        <f>IF(C5&lt;&gt;C6,IF(SUMIF(C$5:C5,C5,I$5:I5)&gt;0,ROUND(((SUMIF(C$5:C5,C5,G$5:G5)-SUMIF(C$5:C5,C5,D$5:D5))/SUMIF(C$5:C5,C5,G$5:G5)),4),1),0)</f>
        <v>1</v>
      </c>
      <c r="AB5" s="304">
        <f>IF(C5&lt;&gt;C6,ROUND(SUMIF(C$5:C5,C5,T$5:T5)*AA5,2),0)</f>
        <v>0</v>
      </c>
      <c r="AC5" s="299">
        <f>IF(C5&lt;&gt;C6,IF((SUMIF(C$5:C5,C5,I$5:I5)-SUMIF(C$5:C5,C5,AB$5:AB5))&gt;0,(SUMIF(C$5:C5,C5,I$5:I5)-SUMIF(C$5:C5,C5,AB$5:AB5)),0),0)</f>
        <v>0</v>
      </c>
      <c r="AD5" s="299">
        <f>IF(C5&lt;&gt;C6,IF((SUMIF(C$5:C5,C5,I$5:I5)-SUMIF(C$5:C5,C5,AB$5:AB5))&gt;0,0,(SUMIF(C$5:C5,C5,I$5:I5)-SUMIF(C$5:C5,C5,AB$5:AB5))),0)</f>
        <v>0</v>
      </c>
      <c r="AE5" s="305">
        <f>IF(C5&lt;&gt;C6,AE4,0)</f>
        <v>0</v>
      </c>
      <c r="AF5" s="299">
        <f>IF(C5&lt;&gt;C6,AF4,0)</f>
        <v>0</v>
      </c>
      <c r="AG5" s="299">
        <f>-IF(C5&lt;&gt;C6,SUMIF(C$5:C5,C5,L$5:L5),0)</f>
        <v>0</v>
      </c>
      <c r="AH5" s="299">
        <f>IF(C5&lt;&gt;C6,IF(SUM(AC5:AE5)&lt;0,SUM(AC5:AE5),0),AE4)</f>
        <v>0</v>
      </c>
      <c r="AI5" s="299">
        <f>IF(C5&lt;&gt;C6,IF(SUM(AC5:AE5)&gt;0,IF(SUM(AC5:AG5)&gt;0,0,SUM(AC5:AG5)),SUM(AF5:AG5)),AF4)</f>
        <v>0</v>
      </c>
      <c r="AK5" s="299">
        <f t="shared" ref="AK5:AK16" si="3">IF(C5&lt;&gt;C6,IF(SUM(AC5:AG5)&gt;0,SUM(AC5:AG5),0),0)</f>
        <v>0</v>
      </c>
      <c r="AL5" s="299">
        <f>IF(C5&lt;&gt;C6,SUMIF(C$5:C5,C5,W$5:W5),0)</f>
        <v>0</v>
      </c>
      <c r="AM5" s="300">
        <f t="shared" ref="AM5:AM16" si="4">AK5+AL5</f>
        <v>0</v>
      </c>
      <c r="AO5" s="301">
        <v>0</v>
      </c>
      <c r="AP5" s="301">
        <v>0</v>
      </c>
      <c r="AQ5" s="300">
        <f t="shared" ref="AQ5:AQ16" si="5">AP5+X5</f>
        <v>0</v>
      </c>
      <c r="AW5"/>
    </row>
    <row r="6" spans="2:49" ht="14.5" x14ac:dyDescent="0.35">
      <c r="B6" s="306">
        <f>VALUE("01/02/"&amp;XLSperiodo)</f>
        <v>45689</v>
      </c>
      <c r="C6" s="307">
        <f>IF(ISNUMBER(C5),C5+1,C5)</f>
        <v>2</v>
      </c>
      <c r="D6" s="263">
        <f>SUMIF(VENTAS!BE:BE,MONTH(B6),VENTAS!CA:CA)</f>
        <v>0</v>
      </c>
      <c r="E6" s="308">
        <f>SUMIF(VENTAS!BE:BE,MONTH(B6),VENTAS!BJ:BJ)+SUMIF(EXPORTACIONES!AL:AL,MONTH(B6),EXPORTACIONES!AF:AF)</f>
        <v>0</v>
      </c>
      <c r="F6" s="308">
        <f>SUMIF(VENTAS!BE:BE,MONTH(B6),VENTAS!P:P)+SUMIF(VENTAS!BE:BE,MONTH(B6),VENTAS!S:S)+SUMIF(VENTAS!BE:BE,MONTH(B6),VENTAS!V:V)</f>
        <v>0</v>
      </c>
      <c r="G6" s="309">
        <f t="shared" si="0"/>
        <v>0</v>
      </c>
      <c r="H6" s="309">
        <f>ROUND(SUMIF(VENTAS!BE:BE,MONTH(B6),VENTAS!BK:BK),2)</f>
        <v>0</v>
      </c>
      <c r="I6" s="310">
        <f>ROUND(SUMIF(VENTAS!BE:BE,MONTH(B6),VENTAS!BL:BL),2)</f>
        <v>0</v>
      </c>
      <c r="J6" s="310">
        <f t="shared" ref="J6:J16" si="6">SUM(H6:I6)</f>
        <v>0</v>
      </c>
      <c r="K6" s="311">
        <f t="shared" ref="K6:K16" si="7">G6+J6</f>
        <v>0</v>
      </c>
      <c r="L6" s="308">
        <f>SUMIF(VENTAS!BE:BE,MONTH(B6),VENTAS!AR:AR)</f>
        <v>0</v>
      </c>
      <c r="M6" s="308">
        <f>SUMIF(VENTAS!BE:BE,MONTH(B6),VENTAS!AS:AS)</f>
        <v>0</v>
      </c>
      <c r="O6" s="308">
        <f>SUMIF(COMPRAS!DB:DB,MONTH(B6),COMPRAS!DH:DH)</f>
        <v>0</v>
      </c>
      <c r="P6" s="308">
        <f>SUMIF(COMPRAS!DB:DB,MONTH(B6),COMPRAS!X:X)+SUMIF(COMPRAS!DB:DB,MONTH(B6),COMPRAS!AA:AA)+SUMIF(COMPRAS!DB:DB,MONTH(B6),COMPRAS!AD:AD)</f>
        <v>0</v>
      </c>
      <c r="Q6" s="309">
        <f t="shared" si="1"/>
        <v>0</v>
      </c>
      <c r="R6" s="308">
        <f>ROUND(SUMIF(COMPRAS!DB:DB,MONTH(B6),COMPRAS!DI:DI),2)</f>
        <v>0</v>
      </c>
      <c r="S6" s="308">
        <f>ROUND(SUMIF(COMPRAS!DB:DB,MONTH(B6),COMPRAS!DJ:DJ),2)</f>
        <v>0</v>
      </c>
      <c r="T6" s="308">
        <f>ROUND(SUMIF(COMPRAS!DB:DB,MONTH(B6),COMPRAS!DK:DK),2)</f>
        <v>0</v>
      </c>
      <c r="U6" s="309">
        <f t="shared" ref="U6:U16" si="8">SUM(R6:T6)</f>
        <v>0</v>
      </c>
      <c r="V6" s="311">
        <f t="shared" si="2"/>
        <v>0</v>
      </c>
      <c r="W6" s="308">
        <f>ROUND(SUMIF(COMPRAS!DB:DB,MONTH(B6),COMPRAS!DL:DL),2)</f>
        <v>0</v>
      </c>
      <c r="X6" s="308">
        <f>ROUND(SUMIF(COMPRAS!DB:DB,MONTH(B6),COMPRAS!DN:DN),2)</f>
        <v>0</v>
      </c>
      <c r="Y6" s="308">
        <f>ROUND(SUMIF(COMPRAS!DB:DB,MONTH(B6),COMPRAS!DM:DM),2)</f>
        <v>0</v>
      </c>
      <c r="AA6" s="312">
        <f>IF(C6&lt;&gt;C7,IF(SUMIF(C$5:C6,C6,I$5:I6)&gt;0,ROUND(((SUMIF(C$5:C6,C6,G$5:G6)-SUMIF(C$5:C6,C6,D$5:D6))/SUMIF(C$5:C6,C6,G$5:G6)),4),1),0)</f>
        <v>1</v>
      </c>
      <c r="AB6" s="313">
        <f>IF(C6&lt;&gt;C7,ROUND(SUMIF(C$5:C6,C6,T$5:T6)*AA6,2),0)</f>
        <v>0</v>
      </c>
      <c r="AC6" s="308">
        <f>IF(C6&lt;&gt;C7,IF((SUMIF(C$5:C6,C6,I$5:I6)-SUMIF(C$5:C6,C6,AB$5:AB6))&gt;0,(SUMIF(C$5:C6,C6,I$5:I6)-SUMIF(C$5:C6,C6,AB$5:AB6)),0),0)</f>
        <v>0</v>
      </c>
      <c r="AD6" s="308">
        <f>IF(C6&lt;&gt;C7,IF((SUMIF(C$5:C6,C6,I$5:I6)-SUMIF(C$5:C6,C6,AB$5:AB6))&gt;0,0,(SUMIF(C$5:C6,C6,I$5:I6)-SUMIF(C$5:C6,C6,AB$5:AB6))),0)</f>
        <v>0</v>
      </c>
      <c r="AE6" s="308">
        <f t="shared" ref="AE6:AE16" si="9">IF(C6&lt;&gt;C7,IF(AH5&lt;0,AH5,0),0)</f>
        <v>0</v>
      </c>
      <c r="AF6" s="308">
        <f t="shared" ref="AF6:AF16" si="10">IF(C6&lt;&gt;C7,IF(AI5&lt;0,AI5,0),0)</f>
        <v>0</v>
      </c>
      <c r="AG6" s="308">
        <f>-IF(C6&lt;&gt;C7,SUMIF(C$5:C6,C6,L$5:L6),0)</f>
        <v>0</v>
      </c>
      <c r="AH6" s="308">
        <f t="shared" ref="AH6:AH16" si="11">IF(C6&lt;&gt;C7,IF(SUM(AC6:AE6)&lt;0,SUM(AC6:AE6),0),AH5)</f>
        <v>0</v>
      </c>
      <c r="AI6" s="308">
        <f t="shared" ref="AI6:AI16" si="12">IF(C6&lt;&gt;C7,IF(SUM(AC6:AE6)&gt;0,IF(SUM(AC6:AG6)&gt;0,0,SUM(AC6:AG6)),SUM(AF6:AG6)),AI5)</f>
        <v>0</v>
      </c>
      <c r="AK6" s="308">
        <f t="shared" si="3"/>
        <v>0</v>
      </c>
      <c r="AL6" s="308">
        <f>IF(C6&lt;&gt;C7,SUMIF(C$5:C6,C6,W$5:W6),0)</f>
        <v>0</v>
      </c>
      <c r="AM6" s="309">
        <f t="shared" si="4"/>
        <v>0</v>
      </c>
      <c r="AO6" s="310">
        <v>0</v>
      </c>
      <c r="AP6" s="310">
        <v>0</v>
      </c>
      <c r="AQ6" s="309">
        <f t="shared" si="5"/>
        <v>0</v>
      </c>
      <c r="AW6"/>
    </row>
    <row r="7" spans="2:49" ht="14.5" x14ac:dyDescent="0.35">
      <c r="B7" s="297">
        <f>VALUE("01/03/"&amp;XLSperiodo)</f>
        <v>45717</v>
      </c>
      <c r="C7" s="298">
        <f t="shared" ref="C7:C16" si="13">IF(ISNUMBER(C6),C6+1,C6)</f>
        <v>3</v>
      </c>
      <c r="D7" s="263">
        <f>SUMIF(VENTAS!BE:BE,MONTH(B7),VENTAS!CA:CA)</f>
        <v>0</v>
      </c>
      <c r="E7" s="299">
        <f>SUMIF(VENTAS!BE:BE,MONTH(B7),VENTAS!BJ:BJ)+SUMIF(EXPORTACIONES!AL:AL,MONTH(B7),EXPORTACIONES!AF:AF)</f>
        <v>0</v>
      </c>
      <c r="F7" s="299">
        <f>SUMIF(VENTAS!BE:BE,MONTH(B7),VENTAS!P:P)+SUMIF(VENTAS!BE:BE,MONTH(B7),VENTAS!S:S)+SUMIF(VENTAS!BE:BE,MONTH(B7),VENTAS!V:V)</f>
        <v>0</v>
      </c>
      <c r="G7" s="300">
        <f t="shared" si="0"/>
        <v>0</v>
      </c>
      <c r="H7" s="300">
        <f>ROUND(SUMIF(VENTAS!BE:BE,MONTH(B7),VENTAS!BK:BK),2)</f>
        <v>0</v>
      </c>
      <c r="I7" s="301">
        <f>ROUND(SUMIF(VENTAS!BE:BE,MONTH(B7),VENTAS!BL:BL),2)</f>
        <v>0</v>
      </c>
      <c r="J7" s="301">
        <f t="shared" si="6"/>
        <v>0</v>
      </c>
      <c r="K7" s="302">
        <f t="shared" si="7"/>
        <v>0</v>
      </c>
      <c r="L7" s="299">
        <f>SUMIF(VENTAS!BE:BE,MONTH(B7),VENTAS!AR:AR)</f>
        <v>0</v>
      </c>
      <c r="M7" s="299">
        <f>SUMIF(VENTAS!BE:BE,MONTH(B7),VENTAS!AS:AS)</f>
        <v>0</v>
      </c>
      <c r="O7" s="299">
        <f>SUMIF(COMPRAS!DB:DB,MONTH(B7),COMPRAS!DH:DH)</f>
        <v>0</v>
      </c>
      <c r="P7" s="299">
        <f>SUMIF(COMPRAS!DB:DB,MONTH(B7),COMPRAS!X:X)+SUMIF(COMPRAS!DB:DB,MONTH(B7),COMPRAS!AA:AA)+SUMIF(COMPRAS!DB:DB,MONTH(B7),COMPRAS!AD:AD)</f>
        <v>0</v>
      </c>
      <c r="Q7" s="300">
        <f t="shared" si="1"/>
        <v>0</v>
      </c>
      <c r="R7" s="299">
        <f>ROUND(SUMIF(COMPRAS!DB:DB,MONTH(B7),COMPRAS!DI:DI),2)</f>
        <v>0</v>
      </c>
      <c r="S7" s="299">
        <f>ROUND(SUMIF(COMPRAS!DB:DB,MONTH(B7),COMPRAS!DJ:DJ),2)</f>
        <v>0</v>
      </c>
      <c r="T7" s="299">
        <f>ROUND(SUMIF(COMPRAS!DB:DB,MONTH(B7),COMPRAS!DK:DK),2)</f>
        <v>0</v>
      </c>
      <c r="U7" s="300">
        <f t="shared" si="8"/>
        <v>0</v>
      </c>
      <c r="V7" s="302">
        <f t="shared" si="2"/>
        <v>0</v>
      </c>
      <c r="W7" s="299">
        <f>ROUND(SUMIF(COMPRAS!DB:DB,MONTH(B7),COMPRAS!DL:DL),2)</f>
        <v>0</v>
      </c>
      <c r="X7" s="299">
        <f>ROUND(SUMIF(COMPRAS!DB:DB,MONTH(B7),COMPRAS!DN:DN),2)</f>
        <v>0</v>
      </c>
      <c r="Y7" s="299">
        <f>ROUND(SUMIF(COMPRAS!DB:DB,MONTH(B7),COMPRAS!DM:DM),2)</f>
        <v>0</v>
      </c>
      <c r="AA7" s="303">
        <f>IF(C7&lt;&gt;C8,IF(SUMIF(C$5:C7,C7,I$5:I7)&gt;0,ROUND(((SUMIF(C$5:C7,C7,G$5:G7)-SUMIF(C$5:C7,C7,D$5:D7))/SUMIF(C$5:C7,C7,G$5:G7)),4),1),0)</f>
        <v>1</v>
      </c>
      <c r="AB7" s="304">
        <f>IF(C7&lt;&gt;C8,ROUND(SUMIF(C$5:C7,C7,T$5:T7)*AA7,2),0)</f>
        <v>0</v>
      </c>
      <c r="AC7" s="299">
        <f>IF(C7&lt;&gt;C8,IF((SUMIF(C$5:C7,C7,I$5:I7)-SUMIF(C$5:C7,C7,AB$5:AB7))&gt;0,(SUMIF(C$5:C7,C7,I$5:I7)-SUMIF(C$5:C7,C7,AB$5:AB7)),0),0)</f>
        <v>0</v>
      </c>
      <c r="AD7" s="299">
        <f>IF(C7&lt;&gt;C8,IF((SUMIF(C$5:C7,C7,I$5:I7)-SUMIF(C$5:C7,C7,AB$5:AB7))&gt;0,0,(SUMIF(C$5:C7,C7,I$5:I7)-SUMIF(C$5:C7,C7,AB$5:AB7))),0)</f>
        <v>0</v>
      </c>
      <c r="AE7" s="299">
        <f t="shared" si="9"/>
        <v>0</v>
      </c>
      <c r="AF7" s="299">
        <f t="shared" si="10"/>
        <v>0</v>
      </c>
      <c r="AG7" s="299">
        <f>-IF(C7&lt;&gt;C8,SUMIF(C$5:C7,C7,L$5:L7),0)</f>
        <v>0</v>
      </c>
      <c r="AH7" s="299">
        <f t="shared" si="11"/>
        <v>0</v>
      </c>
      <c r="AI7" s="299">
        <f t="shared" si="12"/>
        <v>0</v>
      </c>
      <c r="AK7" s="299">
        <f t="shared" si="3"/>
        <v>0</v>
      </c>
      <c r="AL7" s="299">
        <f>IF(C7&lt;&gt;C8,SUMIF(C$5:C7,C7,W$5:W7),0)</f>
        <v>0</v>
      </c>
      <c r="AM7" s="300">
        <f t="shared" si="4"/>
        <v>0</v>
      </c>
      <c r="AO7" s="301">
        <v>0</v>
      </c>
      <c r="AP7" s="301">
        <v>0</v>
      </c>
      <c r="AQ7" s="300">
        <f t="shared" si="5"/>
        <v>0</v>
      </c>
      <c r="AW7"/>
    </row>
    <row r="8" spans="2:49" ht="14.5" x14ac:dyDescent="0.35">
      <c r="B8" s="306">
        <f>VALUE("01/04/"&amp;XLSperiodo)</f>
        <v>45748</v>
      </c>
      <c r="C8" s="307">
        <f t="shared" si="13"/>
        <v>4</v>
      </c>
      <c r="D8" s="263">
        <f>SUMIF(VENTAS!BE:BE,MONTH(B8),VENTAS!CA:CA)</f>
        <v>0</v>
      </c>
      <c r="E8" s="308">
        <f>SUMIF(VENTAS!BE:BE,MONTH(B8),VENTAS!BJ:BJ)+SUMIF(EXPORTACIONES!AL:AL,MONTH(B8),EXPORTACIONES!AF:AF)</f>
        <v>0</v>
      </c>
      <c r="F8" s="308">
        <f>SUMIF(VENTAS!BE:BE,MONTH(B8),VENTAS!P:P)+SUMIF(VENTAS!BE:BE,MONTH(B8),VENTAS!S:S)+SUMIF(VENTAS!BE:BE,MONTH(B8),VENTAS!V:V)</f>
        <v>0</v>
      </c>
      <c r="G8" s="309">
        <f t="shared" si="0"/>
        <v>0</v>
      </c>
      <c r="H8" s="309">
        <f>ROUND(SUMIF(VENTAS!BE:BE,MONTH(B8),VENTAS!BK:BK),2)</f>
        <v>0</v>
      </c>
      <c r="I8" s="310">
        <f>ROUND(SUMIF(VENTAS!BE:BE,MONTH(B8),VENTAS!BL:BL),2)</f>
        <v>0</v>
      </c>
      <c r="J8" s="310">
        <f t="shared" si="6"/>
        <v>0</v>
      </c>
      <c r="K8" s="311">
        <f t="shared" si="7"/>
        <v>0</v>
      </c>
      <c r="L8" s="308">
        <f>SUMIF(VENTAS!BE:BE,MONTH(B8),VENTAS!AR:AR)</f>
        <v>0</v>
      </c>
      <c r="M8" s="308">
        <f>SUMIF(VENTAS!BE:BE,MONTH(B8),VENTAS!AS:AS)</f>
        <v>0</v>
      </c>
      <c r="O8" s="308">
        <f>SUMIF(COMPRAS!DB:DB,MONTH(B8),COMPRAS!DH:DH)</f>
        <v>0</v>
      </c>
      <c r="P8" s="308">
        <f>SUMIF(COMPRAS!DB:DB,MONTH(B8),COMPRAS!X:X)+SUMIF(COMPRAS!DB:DB,MONTH(B8),COMPRAS!AA:AA)+SUMIF(COMPRAS!DB:DB,MONTH(B8),COMPRAS!AD:AD)</f>
        <v>0</v>
      </c>
      <c r="Q8" s="309">
        <f t="shared" si="1"/>
        <v>0</v>
      </c>
      <c r="R8" s="308">
        <f>ROUND(SUMIF(COMPRAS!DB:DB,MONTH(B8),COMPRAS!DI:DI),2)</f>
        <v>0</v>
      </c>
      <c r="S8" s="308">
        <f>ROUND(SUMIF(COMPRAS!DB:DB,MONTH(B8),COMPRAS!DJ:DJ),2)</f>
        <v>0</v>
      </c>
      <c r="T8" s="308">
        <f>ROUND(SUMIF(COMPRAS!DB:DB,MONTH(B8),COMPRAS!DK:DK),2)</f>
        <v>0</v>
      </c>
      <c r="U8" s="309">
        <f t="shared" si="8"/>
        <v>0</v>
      </c>
      <c r="V8" s="311">
        <f t="shared" si="2"/>
        <v>0</v>
      </c>
      <c r="W8" s="308">
        <f>ROUND(SUMIF(COMPRAS!DB:DB,MONTH(B8),COMPRAS!DL:DL),2)</f>
        <v>0</v>
      </c>
      <c r="X8" s="308">
        <f>ROUND(SUMIF(COMPRAS!DB:DB,MONTH(B8),COMPRAS!DN:DN),2)</f>
        <v>0</v>
      </c>
      <c r="Y8" s="308">
        <f>ROUND(SUMIF(COMPRAS!DB:DB,MONTH(B8),COMPRAS!DM:DM),2)</f>
        <v>0</v>
      </c>
      <c r="AA8" s="312">
        <f>IF(C8&lt;&gt;C9,IF(SUMIF(C$5:C8,C8,I$5:I8)&gt;0,ROUND(((SUMIF(C$5:C8,C8,G$5:G8)-SUMIF(C$5:C8,C8,D$5:D8))/SUMIF(C$5:C8,C8,G$5:G8)),4),1),0)</f>
        <v>1</v>
      </c>
      <c r="AB8" s="313">
        <f>IF(C8&lt;&gt;C9,ROUND(SUMIF(C$5:C8,C8,T$5:T8)*AA8,2),0)</f>
        <v>0</v>
      </c>
      <c r="AC8" s="308">
        <f>IF(C8&lt;&gt;C9,IF((SUMIF(C$5:C8,C8,I$5:I8)-SUMIF(C$5:C8,C8,AB$5:AB8))&gt;0,(SUMIF(C$5:C8,C8,I$5:I8)-SUMIF(C$5:C8,C8,AB$5:AB8)),0),0)</f>
        <v>0</v>
      </c>
      <c r="AD8" s="308">
        <f>IF(C8&lt;&gt;C9,IF((SUMIF(C$5:C8,C8,I$5:I8)-SUMIF(C$5:C8,C8,AB$5:AB8))&gt;0,0,(SUMIF(C$5:C8,C8,I$5:I8)-SUMIF(C$5:C8,C8,AB$5:AB8))),0)</f>
        <v>0</v>
      </c>
      <c r="AE8" s="308">
        <f t="shared" si="9"/>
        <v>0</v>
      </c>
      <c r="AF8" s="308">
        <f t="shared" si="10"/>
        <v>0</v>
      </c>
      <c r="AG8" s="308">
        <f>-IF(C8&lt;&gt;C9,SUMIF(C$5:C8,C8,L$5:L8),0)</f>
        <v>0</v>
      </c>
      <c r="AH8" s="308">
        <f t="shared" si="11"/>
        <v>0</v>
      </c>
      <c r="AI8" s="308">
        <f t="shared" si="12"/>
        <v>0</v>
      </c>
      <c r="AK8" s="308">
        <f t="shared" si="3"/>
        <v>0</v>
      </c>
      <c r="AL8" s="308">
        <f>IF(C8&lt;&gt;C9,SUMIF(C$5:C8,C8,W$5:W8),0)</f>
        <v>0</v>
      </c>
      <c r="AM8" s="309">
        <f t="shared" si="4"/>
        <v>0</v>
      </c>
      <c r="AO8" s="310">
        <v>0</v>
      </c>
      <c r="AP8" s="310">
        <v>0</v>
      </c>
      <c r="AQ8" s="309">
        <f t="shared" si="5"/>
        <v>0</v>
      </c>
      <c r="AW8"/>
    </row>
    <row r="9" spans="2:49" ht="14.5" x14ac:dyDescent="0.35">
      <c r="B9" s="297">
        <f>VALUE("01/05/"&amp;XLSperiodo)</f>
        <v>45778</v>
      </c>
      <c r="C9" s="298">
        <f t="shared" si="13"/>
        <v>5</v>
      </c>
      <c r="D9" s="263">
        <f>SUMIF(VENTAS!BE:BE,MONTH(B9),VENTAS!CA:CA)</f>
        <v>0</v>
      </c>
      <c r="E9" s="299">
        <f>SUMIF(VENTAS!BE:BE,MONTH(B9),VENTAS!BJ:BJ)+SUMIF(EXPORTACIONES!AL:AL,MONTH(B9),EXPORTACIONES!AF:AF)</f>
        <v>0</v>
      </c>
      <c r="F9" s="299">
        <f>SUMIF(VENTAS!BE:BE,MONTH(B9),VENTAS!P:P)+SUMIF(VENTAS!BE:BE,MONTH(B9),VENTAS!S:S)+SUMIF(VENTAS!BE:BE,MONTH(B9),VENTAS!V:V)</f>
        <v>0</v>
      </c>
      <c r="G9" s="300">
        <f t="shared" si="0"/>
        <v>0</v>
      </c>
      <c r="H9" s="300">
        <f>ROUND(SUMIF(VENTAS!BE:BE,MONTH(B9),VENTAS!BK:BK),2)</f>
        <v>0</v>
      </c>
      <c r="I9" s="301">
        <f>ROUND(SUMIF(VENTAS!BE:BE,MONTH(B9),VENTAS!BL:BL),2)</f>
        <v>0</v>
      </c>
      <c r="J9" s="301">
        <f t="shared" si="6"/>
        <v>0</v>
      </c>
      <c r="K9" s="302">
        <f t="shared" si="7"/>
        <v>0</v>
      </c>
      <c r="L9" s="299">
        <f>SUMIF(VENTAS!BE:BE,MONTH(B9),VENTAS!AR:AR)</f>
        <v>0</v>
      </c>
      <c r="M9" s="299">
        <f>SUMIF(VENTAS!BE:BE,MONTH(B9),VENTAS!AS:AS)</f>
        <v>0</v>
      </c>
      <c r="O9" s="299">
        <f>SUMIF(COMPRAS!DB:DB,MONTH(B9),COMPRAS!DH:DH)</f>
        <v>0</v>
      </c>
      <c r="P9" s="299">
        <f>SUMIF(COMPRAS!DB:DB,MONTH(B9),COMPRAS!X:X)+SUMIF(COMPRAS!DB:DB,MONTH(B9),COMPRAS!AA:AA)+SUMIF(COMPRAS!DB:DB,MONTH(B9),COMPRAS!AD:AD)</f>
        <v>0</v>
      </c>
      <c r="Q9" s="300">
        <f t="shared" si="1"/>
        <v>0</v>
      </c>
      <c r="R9" s="299">
        <f>ROUND(SUMIF(COMPRAS!DB:DB,MONTH(B9),COMPRAS!DI:DI),2)</f>
        <v>0</v>
      </c>
      <c r="S9" s="299">
        <f>ROUND(SUMIF(COMPRAS!DB:DB,MONTH(B9),COMPRAS!DJ:DJ),2)</f>
        <v>0</v>
      </c>
      <c r="T9" s="299">
        <f>ROUND(SUMIF(COMPRAS!DB:DB,MONTH(B9),COMPRAS!DK:DK),2)</f>
        <v>0</v>
      </c>
      <c r="U9" s="300">
        <f t="shared" si="8"/>
        <v>0</v>
      </c>
      <c r="V9" s="302">
        <f t="shared" si="2"/>
        <v>0</v>
      </c>
      <c r="W9" s="299">
        <f>ROUND(SUMIF(COMPRAS!DB:DB,MONTH(B9),COMPRAS!DL:DL),2)</f>
        <v>0</v>
      </c>
      <c r="X9" s="299">
        <f>ROUND(SUMIF(COMPRAS!DB:DB,MONTH(B9),COMPRAS!DN:DN),2)</f>
        <v>0</v>
      </c>
      <c r="Y9" s="299">
        <f>ROUND(SUMIF(COMPRAS!DB:DB,MONTH(B9),COMPRAS!DM:DM),2)</f>
        <v>0</v>
      </c>
      <c r="AA9" s="303">
        <f>IF(C9&lt;&gt;C10,IF(SUMIF(C$5:C9,C9,I$5:I9)&gt;0,ROUND(((SUMIF(C$5:C9,C9,G$5:G9)-SUMIF(C$5:C9,C9,D$5:D9))/SUMIF(C$5:C9,C9,G$5:G9)),4),1),0)</f>
        <v>1</v>
      </c>
      <c r="AB9" s="304">
        <f>IF(C9&lt;&gt;C10,ROUND(SUMIF(C$5:C9,C9,T$5:T9)*AA9,2),0)</f>
        <v>0</v>
      </c>
      <c r="AC9" s="299">
        <f>IF(C9&lt;&gt;C10,IF((SUMIF(C$5:C9,C9,I$5:I9)-SUMIF(C$5:C9,C9,AB$5:AB9))&gt;0,(SUMIF(C$5:C9,C9,I$5:I9)-SUMIF(C$5:C9,C9,AB$5:AB9)),0),0)</f>
        <v>0</v>
      </c>
      <c r="AD9" s="299">
        <f>IF(C9&lt;&gt;C10,IF((SUMIF(C$5:C9,C9,I$5:I9)-SUMIF(C$5:C9,C9,AB$5:AB9))&gt;0,0,(SUMIF(C$5:C9,C9,I$5:I9)-SUMIF(C$5:C9,C9,AB$5:AB9))),0)</f>
        <v>0</v>
      </c>
      <c r="AE9" s="299">
        <f t="shared" si="9"/>
        <v>0</v>
      </c>
      <c r="AF9" s="299">
        <f t="shared" si="10"/>
        <v>0</v>
      </c>
      <c r="AG9" s="299">
        <f>-IF(C9&lt;&gt;C10,SUMIF(C$5:C9,C9,L$5:L9),0)</f>
        <v>0</v>
      </c>
      <c r="AH9" s="299">
        <f t="shared" si="11"/>
        <v>0</v>
      </c>
      <c r="AI9" s="299">
        <f t="shared" si="12"/>
        <v>0</v>
      </c>
      <c r="AK9" s="299">
        <f t="shared" si="3"/>
        <v>0</v>
      </c>
      <c r="AL9" s="299">
        <f>IF(C9&lt;&gt;C10,SUMIF(C$5:C9,C9,W$5:W9),0)</f>
        <v>0</v>
      </c>
      <c r="AM9" s="300">
        <f t="shared" si="4"/>
        <v>0</v>
      </c>
      <c r="AO9" s="301">
        <v>0</v>
      </c>
      <c r="AP9" s="301">
        <v>0</v>
      </c>
      <c r="AQ9" s="300">
        <f t="shared" si="5"/>
        <v>0</v>
      </c>
      <c r="AW9"/>
    </row>
    <row r="10" spans="2:49" ht="14.5" x14ac:dyDescent="0.35">
      <c r="B10" s="306">
        <f>VALUE("01/06/"&amp;XLSperiodo)</f>
        <v>45809</v>
      </c>
      <c r="C10" s="307">
        <f t="shared" si="13"/>
        <v>6</v>
      </c>
      <c r="D10" s="263">
        <f>SUMIF(VENTAS!BE:BE,MONTH(B10),VENTAS!CA:CA)</f>
        <v>0</v>
      </c>
      <c r="E10" s="308">
        <f>SUMIF(VENTAS!BE:BE,MONTH(B10),VENTAS!BJ:BJ)+SUMIF(EXPORTACIONES!AL:AL,MONTH(B10),EXPORTACIONES!AF:AF)</f>
        <v>0</v>
      </c>
      <c r="F10" s="308">
        <f>SUMIF(VENTAS!BE:BE,MONTH(B10),VENTAS!P:P)+SUMIF(VENTAS!BE:BE,MONTH(B10),VENTAS!S:S)+SUMIF(VENTAS!BE:BE,MONTH(B10),VENTAS!V:V)</f>
        <v>0</v>
      </c>
      <c r="G10" s="309">
        <f t="shared" si="0"/>
        <v>0</v>
      </c>
      <c r="H10" s="309">
        <f>ROUND(SUMIF(VENTAS!BE:BE,MONTH(B10),VENTAS!BK:BK),2)</f>
        <v>0</v>
      </c>
      <c r="I10" s="310">
        <f>ROUND(SUMIF(VENTAS!BE:BE,MONTH(B10),VENTAS!BL:BL),2)</f>
        <v>0</v>
      </c>
      <c r="J10" s="310">
        <f t="shared" si="6"/>
        <v>0</v>
      </c>
      <c r="K10" s="311">
        <f t="shared" si="7"/>
        <v>0</v>
      </c>
      <c r="L10" s="308">
        <f>SUMIF(VENTAS!BE:BE,MONTH(B10),VENTAS!AR:AR)</f>
        <v>0</v>
      </c>
      <c r="M10" s="308">
        <f>SUMIF(VENTAS!BE:BE,MONTH(B10),VENTAS!AS:AS)</f>
        <v>0</v>
      </c>
      <c r="O10" s="308">
        <f>SUMIF(COMPRAS!DB:DB,MONTH(B10),COMPRAS!DH:DH)</f>
        <v>0</v>
      </c>
      <c r="P10" s="308">
        <f>SUMIF(COMPRAS!DB:DB,MONTH(B10),COMPRAS!X:X)+SUMIF(COMPRAS!DB:DB,MONTH(B10),COMPRAS!AA:AA)+SUMIF(COMPRAS!DB:DB,MONTH(B10),COMPRAS!AD:AD)</f>
        <v>0</v>
      </c>
      <c r="Q10" s="309">
        <f t="shared" si="1"/>
        <v>0</v>
      </c>
      <c r="R10" s="308">
        <f>ROUND(SUMIF(COMPRAS!DB:DB,MONTH(B10),COMPRAS!DI:DI),2)</f>
        <v>0</v>
      </c>
      <c r="S10" s="308">
        <f>ROUND(SUMIF(COMPRAS!DB:DB,MONTH(B10),COMPRAS!DJ:DJ),2)</f>
        <v>0</v>
      </c>
      <c r="T10" s="308">
        <f>ROUND(SUMIF(COMPRAS!DB:DB,MONTH(B10),COMPRAS!DK:DK),2)</f>
        <v>0</v>
      </c>
      <c r="U10" s="309">
        <f t="shared" si="8"/>
        <v>0</v>
      </c>
      <c r="V10" s="311">
        <f t="shared" si="2"/>
        <v>0</v>
      </c>
      <c r="W10" s="308">
        <f>ROUND(SUMIF(COMPRAS!DB:DB,MONTH(B10),COMPRAS!DL:DL),2)</f>
        <v>0</v>
      </c>
      <c r="X10" s="308">
        <f>ROUND(SUMIF(COMPRAS!DB:DB,MONTH(B10),COMPRAS!DN:DN),2)</f>
        <v>0</v>
      </c>
      <c r="Y10" s="308">
        <f>ROUND(SUMIF(COMPRAS!DB:DB,MONTH(B10),COMPRAS!DM:DM),2)</f>
        <v>0</v>
      </c>
      <c r="AA10" s="312">
        <f>IF(C10&lt;&gt;C11,IF(SUMIF(C$5:C10,C10,I$5:I10)&gt;0,ROUND(((SUMIF(C$5:C10,C10,G$5:G10)-SUMIF(C$5:C10,C10,D$5:D10))/SUMIF(C$5:C10,C10,G$5:G10)),4),1),0)</f>
        <v>1</v>
      </c>
      <c r="AB10" s="313">
        <f>IF(C10&lt;&gt;C11,ROUND(SUMIF(C$5:C10,C10,T$5:T10)*AA10,2),0)</f>
        <v>0</v>
      </c>
      <c r="AC10" s="308">
        <f>IF(C10&lt;&gt;C11,IF((SUMIF(C$5:C10,C10,I$5:I10)-SUMIF(C$5:C10,C10,AB$5:AB10))&gt;0,(SUMIF(C$5:C10,C10,I$5:I10)-SUMIF(C$5:C10,C10,AB$5:AB10)),0),0)</f>
        <v>0</v>
      </c>
      <c r="AD10" s="308">
        <f>IF(C10&lt;&gt;C11,IF((SUMIF(C$5:C10,C10,I$5:I10)-SUMIF(C$5:C10,C10,AB$5:AB10))&gt;0,0,(SUMIF(C$5:C10,C10,I$5:I10)-SUMIF(C$5:C10,C10,AB$5:AB10))),0)</f>
        <v>0</v>
      </c>
      <c r="AE10" s="308">
        <f t="shared" si="9"/>
        <v>0</v>
      </c>
      <c r="AF10" s="308">
        <f t="shared" si="10"/>
        <v>0</v>
      </c>
      <c r="AG10" s="308">
        <f>-IF(C10&lt;&gt;C11,SUMIF(C$5:C10,C10,L$5:L10),0)</f>
        <v>0</v>
      </c>
      <c r="AH10" s="308">
        <f t="shared" si="11"/>
        <v>0</v>
      </c>
      <c r="AI10" s="308">
        <f t="shared" si="12"/>
        <v>0</v>
      </c>
      <c r="AK10" s="308">
        <f t="shared" si="3"/>
        <v>0</v>
      </c>
      <c r="AL10" s="308">
        <f>IF(C10&lt;&gt;C11,SUMIF(C$5:C10,C10,W$5:W10),0)</f>
        <v>0</v>
      </c>
      <c r="AM10" s="309">
        <f t="shared" si="4"/>
        <v>0</v>
      </c>
      <c r="AO10" s="310">
        <v>0</v>
      </c>
      <c r="AP10" s="310">
        <v>0</v>
      </c>
      <c r="AQ10" s="309">
        <f t="shared" si="5"/>
        <v>0</v>
      </c>
      <c r="AW10"/>
    </row>
    <row r="11" spans="2:49" ht="14.5" x14ac:dyDescent="0.35">
      <c r="B11" s="297">
        <f>VALUE("01/07/"&amp;XLSperiodo)</f>
        <v>45839</v>
      </c>
      <c r="C11" s="298">
        <f>IF(Parametros!D21="SEMESTRAL","II-Semestre",7)</f>
        <v>7</v>
      </c>
      <c r="D11" s="263">
        <f>SUMIF(VENTAS!BE:BE,MONTH(B11),VENTAS!CA:CA)</f>
        <v>0</v>
      </c>
      <c r="E11" s="299">
        <f>SUMIF(VENTAS!BE:BE,MONTH(B11),VENTAS!BJ:BJ)+SUMIF(EXPORTACIONES!AL:AL,MONTH(B11),EXPORTACIONES!AF:AF)</f>
        <v>0</v>
      </c>
      <c r="F11" s="299">
        <f>SUMIF(VENTAS!BE:BE,MONTH(B11),VENTAS!P:P)+SUMIF(VENTAS!BE:BE,MONTH(B11),VENTAS!S:S)+SUMIF(VENTAS!BE:BE,MONTH(B11),VENTAS!V:V)</f>
        <v>0</v>
      </c>
      <c r="G11" s="300">
        <f t="shared" si="0"/>
        <v>0</v>
      </c>
      <c r="H11" s="300">
        <f>ROUND(SUMIF(VENTAS!BE:BE,MONTH(B11),VENTAS!BK:BK),2)</f>
        <v>0</v>
      </c>
      <c r="I11" s="301">
        <f>ROUND(SUMIF(VENTAS!BE:BE,MONTH(B11),VENTAS!BL:BL),2)</f>
        <v>0</v>
      </c>
      <c r="J11" s="301">
        <f t="shared" si="6"/>
        <v>0</v>
      </c>
      <c r="K11" s="302">
        <f t="shared" si="7"/>
        <v>0</v>
      </c>
      <c r="L11" s="299">
        <f>SUMIF(VENTAS!BE:BE,MONTH(B11),VENTAS!AR:AR)</f>
        <v>0</v>
      </c>
      <c r="M11" s="299">
        <f>SUMIF(VENTAS!BE:BE,MONTH(B11),VENTAS!AS:AS)</f>
        <v>0</v>
      </c>
      <c r="O11" s="299">
        <f>SUMIF(COMPRAS!DB:DB,MONTH(B11),COMPRAS!DH:DH)</f>
        <v>0</v>
      </c>
      <c r="P11" s="299">
        <f>SUMIF(COMPRAS!DB:DB,MONTH(B11),COMPRAS!X:X)+SUMIF(COMPRAS!DB:DB,MONTH(B11),COMPRAS!AA:AA)+SUMIF(COMPRAS!DB:DB,MONTH(B11),COMPRAS!AD:AD)</f>
        <v>0</v>
      </c>
      <c r="Q11" s="300">
        <f t="shared" si="1"/>
        <v>0</v>
      </c>
      <c r="R11" s="299">
        <f>ROUND(SUMIF(COMPRAS!DB:DB,MONTH(B11),COMPRAS!DI:DI),2)</f>
        <v>0</v>
      </c>
      <c r="S11" s="299">
        <f>ROUND(SUMIF(COMPRAS!DB:DB,MONTH(B11),COMPRAS!DJ:DJ),2)</f>
        <v>0</v>
      </c>
      <c r="T11" s="299">
        <f>ROUND(SUMIF(COMPRAS!DB:DB,MONTH(B11),COMPRAS!DK:DK),2)</f>
        <v>0</v>
      </c>
      <c r="U11" s="300">
        <f t="shared" si="8"/>
        <v>0</v>
      </c>
      <c r="V11" s="302">
        <f t="shared" si="2"/>
        <v>0</v>
      </c>
      <c r="W11" s="299">
        <f>ROUND(SUMIF(COMPRAS!DB:DB,MONTH(B11),COMPRAS!DL:DL),2)</f>
        <v>0</v>
      </c>
      <c r="X11" s="299">
        <f>ROUND(SUMIF(COMPRAS!DB:DB,MONTH(B11),COMPRAS!DN:DN),2)</f>
        <v>0</v>
      </c>
      <c r="Y11" s="299">
        <f>ROUND(SUMIF(COMPRAS!DB:DB,MONTH(B11),COMPRAS!DM:DM),2)</f>
        <v>0</v>
      </c>
      <c r="AA11" s="303">
        <f>IF(C11&lt;&gt;C12,IF(SUMIF(C$5:C11,C11,I$5:I11)&gt;0,ROUND(((SUMIF(C$5:C11,C11,G$5:G11)-SUMIF(C$5:C11,C11,D$5:D11))/SUMIF(C$5:C11,C11,G$5:G11)),4),1),0)</f>
        <v>1</v>
      </c>
      <c r="AB11" s="304">
        <f>IF(C11&lt;&gt;C12,ROUND(SUMIF(C$5:C11,C11,T$5:T11)*AA11,2),0)</f>
        <v>0</v>
      </c>
      <c r="AC11" s="299">
        <f>IF(C11&lt;&gt;C12,IF((SUMIF(C$5:C11,C11,I$5:I11)-SUMIF(C$5:C11,C11,AB$5:AB11))&gt;0,(SUMIF(C$5:C11,C11,I$5:I11)-SUMIF(C$5:C11,C11,AB$5:AB11)),0),0)</f>
        <v>0</v>
      </c>
      <c r="AD11" s="299">
        <f>IF(C11&lt;&gt;C12,IF((SUMIF(C$5:C11,C11,I$5:I11)-SUMIF(C$5:C11,C11,AB$5:AB11))&gt;0,0,(SUMIF(C$5:C11,C11,I$5:I11)-SUMIF(C$5:C11,C11,AB$5:AB11))),0)</f>
        <v>0</v>
      </c>
      <c r="AE11" s="299">
        <f t="shared" si="9"/>
        <v>0</v>
      </c>
      <c r="AF11" s="299">
        <f t="shared" si="10"/>
        <v>0</v>
      </c>
      <c r="AG11" s="299">
        <f>-IF(C11&lt;&gt;C12,SUMIF(C$5:C11,C11,L$5:L11),0)</f>
        <v>0</v>
      </c>
      <c r="AH11" s="299">
        <f t="shared" si="11"/>
        <v>0</v>
      </c>
      <c r="AI11" s="299">
        <f t="shared" si="12"/>
        <v>0</v>
      </c>
      <c r="AK11" s="299">
        <f t="shared" si="3"/>
        <v>0</v>
      </c>
      <c r="AL11" s="299">
        <f>IF(C11&lt;&gt;C12,SUMIF(C$5:C11,C11,W$5:W11),0)</f>
        <v>0</v>
      </c>
      <c r="AM11" s="300">
        <f t="shared" si="4"/>
        <v>0</v>
      </c>
      <c r="AO11" s="301">
        <v>0</v>
      </c>
      <c r="AP11" s="301">
        <v>0</v>
      </c>
      <c r="AQ11" s="300">
        <f t="shared" si="5"/>
        <v>0</v>
      </c>
      <c r="AW11"/>
    </row>
    <row r="12" spans="2:49" ht="14.5" x14ac:dyDescent="0.35">
      <c r="B12" s="306">
        <f>VALUE("01/08/"&amp;XLSperiodo)</f>
        <v>45870</v>
      </c>
      <c r="C12" s="307">
        <f t="shared" si="13"/>
        <v>8</v>
      </c>
      <c r="D12" s="263">
        <f>SUMIF(VENTAS!BE:BE,MONTH(B12),VENTAS!CA:CA)</f>
        <v>0</v>
      </c>
      <c r="E12" s="308">
        <f>SUMIF(VENTAS!BE:BE,MONTH(B12),VENTAS!BJ:BJ)+SUMIF(EXPORTACIONES!AL:AL,MONTH(B12),EXPORTACIONES!AF:AF)</f>
        <v>0</v>
      </c>
      <c r="F12" s="308">
        <f>SUMIF(VENTAS!BE:BE,MONTH(B12),VENTAS!P:P)+SUMIF(VENTAS!BE:BE,MONTH(B12),VENTAS!S:S)+SUMIF(VENTAS!BE:BE,MONTH(B12),VENTAS!V:V)</f>
        <v>0</v>
      </c>
      <c r="G12" s="309">
        <f t="shared" si="0"/>
        <v>0</v>
      </c>
      <c r="H12" s="309">
        <f>ROUND(SUMIF(VENTAS!BE:BE,MONTH(B12),VENTAS!BK:BK),2)</f>
        <v>0</v>
      </c>
      <c r="I12" s="310">
        <f>ROUND(SUMIF(VENTAS!BE:BE,MONTH(B12),VENTAS!BL:BL),2)</f>
        <v>0</v>
      </c>
      <c r="J12" s="310">
        <f t="shared" si="6"/>
        <v>0</v>
      </c>
      <c r="K12" s="311">
        <f t="shared" si="7"/>
        <v>0</v>
      </c>
      <c r="L12" s="308">
        <f>SUMIF(VENTAS!BE:BE,MONTH(B12),VENTAS!AR:AR)</f>
        <v>0</v>
      </c>
      <c r="M12" s="308">
        <f>SUMIF(VENTAS!BE:BE,MONTH(B12),VENTAS!AS:AS)</f>
        <v>0</v>
      </c>
      <c r="O12" s="308">
        <f>SUMIF(COMPRAS!DB:DB,MONTH(B12),COMPRAS!DH:DH)</f>
        <v>0</v>
      </c>
      <c r="P12" s="308">
        <f>SUMIF(COMPRAS!DB:DB,MONTH(B12),COMPRAS!X:X)+SUMIF(COMPRAS!DB:DB,MONTH(B12),COMPRAS!AA:AA)+SUMIF(COMPRAS!DB:DB,MONTH(B12),COMPRAS!AD:AD)</f>
        <v>0</v>
      </c>
      <c r="Q12" s="309">
        <f t="shared" si="1"/>
        <v>0</v>
      </c>
      <c r="R12" s="308">
        <f>ROUND(SUMIF(COMPRAS!DB:DB,MONTH(B12),COMPRAS!DI:DI),2)</f>
        <v>0</v>
      </c>
      <c r="S12" s="308">
        <f>ROUND(SUMIF(COMPRAS!DB:DB,MONTH(B12),COMPRAS!DJ:DJ),2)</f>
        <v>0</v>
      </c>
      <c r="T12" s="308">
        <f>ROUND(SUMIF(COMPRAS!DB:DB,MONTH(B12),COMPRAS!DK:DK),2)</f>
        <v>0</v>
      </c>
      <c r="U12" s="309">
        <f t="shared" si="8"/>
        <v>0</v>
      </c>
      <c r="V12" s="311">
        <f t="shared" si="2"/>
        <v>0</v>
      </c>
      <c r="W12" s="308">
        <f>ROUND(SUMIF(COMPRAS!DB:DB,MONTH(B12),COMPRAS!DL:DL),2)</f>
        <v>0</v>
      </c>
      <c r="X12" s="308">
        <f>ROUND(SUMIF(COMPRAS!DB:DB,MONTH(B12),COMPRAS!DN:DN),2)</f>
        <v>0</v>
      </c>
      <c r="Y12" s="308">
        <f>ROUND(SUMIF(COMPRAS!DB:DB,MONTH(B12),COMPRAS!DM:DM),2)</f>
        <v>0</v>
      </c>
      <c r="AA12" s="312">
        <f>IF(C12&lt;&gt;C13,IF(SUMIF(C$5:C12,C12,I$5:I12)&gt;0,ROUND(((SUMIF(C$5:C12,C12,G$5:G12)-SUMIF(C$5:C12,C12,D$5:D12))/SUMIF(C$5:C12,C12,G$5:G12)),4),1),0)</f>
        <v>1</v>
      </c>
      <c r="AB12" s="313">
        <f>IF(C12&lt;&gt;C13,ROUND(SUMIF(C$5:C12,C12,T$5:T12)*AA12,2),0)</f>
        <v>0</v>
      </c>
      <c r="AC12" s="308">
        <f>IF(C12&lt;&gt;C13,IF((SUMIF(C$5:C12,C12,I$5:I12)-SUMIF(C$5:C12,C12,AB$5:AB12))&gt;0,(SUMIF(C$5:C12,C12,I$5:I12)-SUMIF(C$5:C12,C12,AB$5:AB12)),0),0)</f>
        <v>0</v>
      </c>
      <c r="AD12" s="308">
        <f>IF(C12&lt;&gt;C13,IF((SUMIF(C$5:C12,C12,I$5:I12)-SUMIF(C$5:C12,C12,AB$5:AB12))&gt;0,0,(SUMIF(C$5:C12,C12,I$5:I12)-SUMIF(C$5:C12,C12,AB$5:AB12))),0)</f>
        <v>0</v>
      </c>
      <c r="AE12" s="308">
        <f t="shared" si="9"/>
        <v>0</v>
      </c>
      <c r="AF12" s="308">
        <f t="shared" si="10"/>
        <v>0</v>
      </c>
      <c r="AG12" s="308">
        <f>-IF(C12&lt;&gt;C13,SUMIF(C$5:C12,C12,L$5:L12),0)</f>
        <v>0</v>
      </c>
      <c r="AH12" s="308">
        <f t="shared" si="11"/>
        <v>0</v>
      </c>
      <c r="AI12" s="308">
        <f t="shared" si="12"/>
        <v>0</v>
      </c>
      <c r="AK12" s="308">
        <f t="shared" si="3"/>
        <v>0</v>
      </c>
      <c r="AL12" s="308">
        <f>IF(C12&lt;&gt;C13,SUMIF(C$5:C12,C12,W$5:W12),0)</f>
        <v>0</v>
      </c>
      <c r="AM12" s="309">
        <f t="shared" si="4"/>
        <v>0</v>
      </c>
      <c r="AO12" s="310">
        <v>0</v>
      </c>
      <c r="AP12" s="310">
        <v>0</v>
      </c>
      <c r="AQ12" s="309">
        <f t="shared" si="5"/>
        <v>0</v>
      </c>
      <c r="AW12"/>
    </row>
    <row r="13" spans="2:49" ht="14.5" x14ac:dyDescent="0.35">
      <c r="B13" s="297">
        <f>VALUE("01/09/"&amp;XLSperiodo)</f>
        <v>45901</v>
      </c>
      <c r="C13" s="298">
        <f t="shared" si="13"/>
        <v>9</v>
      </c>
      <c r="D13" s="263">
        <f>SUMIF(VENTAS!BE:BE,MONTH(B13),VENTAS!CA:CA)</f>
        <v>0</v>
      </c>
      <c r="E13" s="299">
        <f>SUMIF(VENTAS!BE:BE,MONTH(B13),VENTAS!BJ:BJ)+SUMIF(EXPORTACIONES!AL:AL,MONTH(B13),EXPORTACIONES!AF:AF)</f>
        <v>0</v>
      </c>
      <c r="F13" s="299">
        <f>SUMIF(VENTAS!BE:BE,MONTH(B13),VENTAS!P:P)+SUMIF(VENTAS!BE:BE,MONTH(B13),VENTAS!S:S)+SUMIF(VENTAS!BE:BE,MONTH(B13),VENTAS!V:V)</f>
        <v>0</v>
      </c>
      <c r="G13" s="300">
        <f t="shared" si="0"/>
        <v>0</v>
      </c>
      <c r="H13" s="300">
        <f>ROUND(SUMIF(VENTAS!BE:BE,MONTH(B13),VENTAS!BK:BK),2)</f>
        <v>0</v>
      </c>
      <c r="I13" s="301">
        <f>ROUND(SUMIF(VENTAS!BE:BE,MONTH(B13),VENTAS!BL:BL),2)</f>
        <v>0</v>
      </c>
      <c r="J13" s="301">
        <f t="shared" si="6"/>
        <v>0</v>
      </c>
      <c r="K13" s="302">
        <f t="shared" si="7"/>
        <v>0</v>
      </c>
      <c r="L13" s="299">
        <f>SUMIF(VENTAS!BE:BE,MONTH(B13),VENTAS!AR:AR)</f>
        <v>0</v>
      </c>
      <c r="M13" s="299">
        <f>SUMIF(VENTAS!BE:BE,MONTH(B13),VENTAS!AS:AS)</f>
        <v>0</v>
      </c>
      <c r="O13" s="299">
        <f>SUMIF(COMPRAS!DB:DB,MONTH(B13),COMPRAS!DH:DH)</f>
        <v>0</v>
      </c>
      <c r="P13" s="299">
        <f>SUMIF(COMPRAS!DB:DB,MONTH(B13),COMPRAS!X:X)+SUMIF(COMPRAS!DB:DB,MONTH(B13),COMPRAS!AA:AA)+SUMIF(COMPRAS!DB:DB,MONTH(B13),COMPRAS!AD:AD)</f>
        <v>0</v>
      </c>
      <c r="Q13" s="300">
        <f t="shared" si="1"/>
        <v>0</v>
      </c>
      <c r="R13" s="299">
        <f>ROUND(SUMIF(COMPRAS!DB:DB,MONTH(B13),COMPRAS!DI:DI),2)</f>
        <v>0</v>
      </c>
      <c r="S13" s="299">
        <f>ROUND(SUMIF(COMPRAS!DB:DB,MONTH(B13),COMPRAS!DJ:DJ),2)</f>
        <v>0</v>
      </c>
      <c r="T13" s="299">
        <f>ROUND(SUMIF(COMPRAS!DB:DB,MONTH(B13),COMPRAS!DK:DK),2)</f>
        <v>0</v>
      </c>
      <c r="U13" s="300">
        <f t="shared" si="8"/>
        <v>0</v>
      </c>
      <c r="V13" s="302">
        <f t="shared" si="2"/>
        <v>0</v>
      </c>
      <c r="W13" s="299">
        <f>ROUND(SUMIF(COMPRAS!DB:DB,MONTH(B13),COMPRAS!DL:DL),2)</f>
        <v>0</v>
      </c>
      <c r="X13" s="299">
        <f>ROUND(SUMIF(COMPRAS!DB:DB,MONTH(B13),COMPRAS!DN:DN),2)</f>
        <v>0</v>
      </c>
      <c r="Y13" s="299">
        <f>ROUND(SUMIF(COMPRAS!DB:DB,MONTH(B13),COMPRAS!DM:DM),2)</f>
        <v>0</v>
      </c>
      <c r="AA13" s="303">
        <f>IF(C13&lt;&gt;C14,IF(SUMIF(C$5:C13,C13,I$5:I13)&gt;0,ROUND(((SUMIF(C$5:C13,C13,G$5:G13)-SUMIF(C$5:C13,C13,D$5:D13))/SUMIF(C$5:C13,C13,G$5:G13)),4),1),0)</f>
        <v>1</v>
      </c>
      <c r="AB13" s="304">
        <f>IF(C13&lt;&gt;C14,ROUND(SUMIF(C$5:C13,C13,T$5:T13)*AA13,2),0)</f>
        <v>0</v>
      </c>
      <c r="AC13" s="299">
        <f>IF(C13&lt;&gt;C14,IF((SUMIF(C$5:C13,C13,I$5:I13)-SUMIF(C$5:C13,C13,AB$5:AB13))&gt;0,(SUMIF(C$5:C13,C13,I$5:I13)-SUMIF(C$5:C13,C13,AB$5:AB13)),0),0)</f>
        <v>0</v>
      </c>
      <c r="AD13" s="299">
        <f>IF(C13&lt;&gt;C14,IF((SUMIF(C$5:C13,C13,I$5:I13)-SUMIF(C$5:C13,C13,AB$5:AB13))&gt;0,0,(SUMIF(C$5:C13,C13,I$5:I13)-SUMIF(C$5:C13,C13,AB$5:AB13))),0)</f>
        <v>0</v>
      </c>
      <c r="AE13" s="299">
        <f t="shared" si="9"/>
        <v>0</v>
      </c>
      <c r="AF13" s="299">
        <f t="shared" si="10"/>
        <v>0</v>
      </c>
      <c r="AG13" s="299">
        <f>-IF(C13&lt;&gt;C14,SUMIF(C$5:C13,C13,L$5:L13),0)</f>
        <v>0</v>
      </c>
      <c r="AH13" s="299">
        <f t="shared" si="11"/>
        <v>0</v>
      </c>
      <c r="AI13" s="299">
        <f t="shared" si="12"/>
        <v>0</v>
      </c>
      <c r="AK13" s="299">
        <f t="shared" si="3"/>
        <v>0</v>
      </c>
      <c r="AL13" s="299">
        <f>IF(C13&lt;&gt;C14,SUMIF(C$5:C13,C13,W$5:W13),0)</f>
        <v>0</v>
      </c>
      <c r="AM13" s="300">
        <f t="shared" si="4"/>
        <v>0</v>
      </c>
      <c r="AO13" s="301">
        <v>0</v>
      </c>
      <c r="AP13" s="301">
        <v>0</v>
      </c>
      <c r="AQ13" s="300">
        <f t="shared" si="5"/>
        <v>0</v>
      </c>
      <c r="AW13"/>
    </row>
    <row r="14" spans="2:49" ht="14.5" x14ac:dyDescent="0.35">
      <c r="B14" s="306">
        <f>VALUE("01/10/"&amp;XLSperiodo)</f>
        <v>45931</v>
      </c>
      <c r="C14" s="307">
        <f t="shared" si="13"/>
        <v>10</v>
      </c>
      <c r="D14" s="263">
        <f>SUMIF(VENTAS!BE:BE,MONTH(B14),VENTAS!CA:CA)</f>
        <v>0</v>
      </c>
      <c r="E14" s="308">
        <f>SUMIF(VENTAS!BE:BE,MONTH(B14),VENTAS!BJ:BJ)+SUMIF(EXPORTACIONES!AL:AL,MONTH(B14),EXPORTACIONES!AF:AF)</f>
        <v>0</v>
      </c>
      <c r="F14" s="308">
        <f>SUMIF(VENTAS!BE:BE,MONTH(B14),VENTAS!P:P)+SUMIF(VENTAS!BE:BE,MONTH(B14),VENTAS!S:S)+SUMIF(VENTAS!BE:BE,MONTH(B14),VENTAS!V:V)</f>
        <v>0</v>
      </c>
      <c r="G14" s="309">
        <f t="shared" si="0"/>
        <v>0</v>
      </c>
      <c r="H14" s="309">
        <f>ROUND(SUMIF(VENTAS!BE:BE,MONTH(B14),VENTAS!BK:BK),2)</f>
        <v>0</v>
      </c>
      <c r="I14" s="310">
        <f>ROUND(SUMIF(VENTAS!BE:BE,MONTH(B14),VENTAS!BL:BL),2)</f>
        <v>0</v>
      </c>
      <c r="J14" s="310">
        <f t="shared" si="6"/>
        <v>0</v>
      </c>
      <c r="K14" s="311">
        <f t="shared" si="7"/>
        <v>0</v>
      </c>
      <c r="L14" s="308">
        <f>SUMIF(VENTAS!BE:BE,MONTH(B14),VENTAS!AR:AR)</f>
        <v>0</v>
      </c>
      <c r="M14" s="308">
        <f>SUMIF(VENTAS!BE:BE,MONTH(B14),VENTAS!AS:AS)</f>
        <v>0</v>
      </c>
      <c r="O14" s="308">
        <f>SUMIF(COMPRAS!DB:DB,MONTH(B14),COMPRAS!DH:DH)</f>
        <v>0</v>
      </c>
      <c r="P14" s="308">
        <f>SUMIF(COMPRAS!DB:DB,MONTH(B14),COMPRAS!X:X)+SUMIF(COMPRAS!DB:DB,MONTH(B14),COMPRAS!AA:AA)+SUMIF(COMPRAS!DB:DB,MONTH(B14),COMPRAS!AD:AD)</f>
        <v>0</v>
      </c>
      <c r="Q14" s="309">
        <f t="shared" si="1"/>
        <v>0</v>
      </c>
      <c r="R14" s="308">
        <f>ROUND(SUMIF(COMPRAS!DB:DB,MONTH(B14),COMPRAS!DI:DI),2)</f>
        <v>0</v>
      </c>
      <c r="S14" s="308">
        <f>ROUND(SUMIF(COMPRAS!DB:DB,MONTH(B14),COMPRAS!DJ:DJ),2)</f>
        <v>0</v>
      </c>
      <c r="T14" s="308">
        <f>ROUND(SUMIF(COMPRAS!DB:DB,MONTH(B14),COMPRAS!DK:DK),2)</f>
        <v>0</v>
      </c>
      <c r="U14" s="309">
        <f t="shared" si="8"/>
        <v>0</v>
      </c>
      <c r="V14" s="311">
        <f t="shared" si="2"/>
        <v>0</v>
      </c>
      <c r="W14" s="308">
        <f>ROUND(SUMIF(COMPRAS!DB:DB,MONTH(B14),COMPRAS!DL:DL),2)</f>
        <v>0</v>
      </c>
      <c r="X14" s="308">
        <f>ROUND(SUMIF(COMPRAS!DB:DB,MONTH(B14),COMPRAS!DN:DN),2)</f>
        <v>0</v>
      </c>
      <c r="Y14" s="308">
        <f>ROUND(SUMIF(COMPRAS!DB:DB,MONTH(B14),COMPRAS!DM:DM),2)</f>
        <v>0</v>
      </c>
      <c r="AA14" s="312">
        <f>IF(C14&lt;&gt;C15,IF(SUMIF(C$5:C14,C14,I$5:I14)&gt;0,ROUND(((SUMIF(C$5:C14,C14,G$5:G14)-SUMIF(C$5:C14,C14,D$5:D14))/SUMIF(C$5:C14,C14,G$5:G14)),4),1),0)</f>
        <v>1</v>
      </c>
      <c r="AB14" s="313">
        <f>IF(C14&lt;&gt;C15,ROUND(SUMIF(C$5:C14,C14,T$5:T14)*AA14,2),0)</f>
        <v>0</v>
      </c>
      <c r="AC14" s="308">
        <f>IF(C14&lt;&gt;C15,IF((SUMIF(C$5:C14,C14,I$5:I14)-SUMIF(C$5:C14,C14,AB$5:AB14))&gt;0,(SUMIF(C$5:C14,C14,I$5:I14)-SUMIF(C$5:C14,C14,AB$5:AB14)),0),0)</f>
        <v>0</v>
      </c>
      <c r="AD14" s="308">
        <f>IF(C14&lt;&gt;C15,IF((SUMIF(C$5:C14,C14,I$5:I14)-SUMIF(C$5:C14,C14,AB$5:AB14))&gt;0,0,(SUMIF(C$5:C14,C14,I$5:I14)-SUMIF(C$5:C14,C14,AB$5:AB14))),0)</f>
        <v>0</v>
      </c>
      <c r="AE14" s="308">
        <f t="shared" si="9"/>
        <v>0</v>
      </c>
      <c r="AF14" s="308">
        <f t="shared" si="10"/>
        <v>0</v>
      </c>
      <c r="AG14" s="308">
        <f>-IF(C14&lt;&gt;C15,SUMIF(C$5:C14,C14,L$5:L14),0)</f>
        <v>0</v>
      </c>
      <c r="AH14" s="308">
        <f t="shared" si="11"/>
        <v>0</v>
      </c>
      <c r="AI14" s="308">
        <f t="shared" si="12"/>
        <v>0</v>
      </c>
      <c r="AK14" s="308">
        <f t="shared" si="3"/>
        <v>0</v>
      </c>
      <c r="AL14" s="308">
        <f>IF(C14&lt;&gt;C15,SUMIF(C$5:C14,C14,W$5:W14),0)</f>
        <v>0</v>
      </c>
      <c r="AM14" s="309">
        <f t="shared" si="4"/>
        <v>0</v>
      </c>
      <c r="AO14" s="310">
        <v>0</v>
      </c>
      <c r="AP14" s="310">
        <v>0</v>
      </c>
      <c r="AQ14" s="309">
        <f t="shared" si="5"/>
        <v>0</v>
      </c>
      <c r="AW14"/>
    </row>
    <row r="15" spans="2:49" ht="14.5" x14ac:dyDescent="0.35">
      <c r="B15" s="297">
        <f>VALUE("01/11/"&amp;XLSperiodo)</f>
        <v>45962</v>
      </c>
      <c r="C15" s="298">
        <f t="shared" si="13"/>
        <v>11</v>
      </c>
      <c r="D15" s="263">
        <f>SUMIF(VENTAS!BE:BE,MONTH(B15),VENTAS!CA:CA)</f>
        <v>0</v>
      </c>
      <c r="E15" s="299">
        <f>SUMIF(VENTAS!BE:BE,MONTH(B15),VENTAS!BJ:BJ)+SUMIF(EXPORTACIONES!AL:AL,MONTH(B15),EXPORTACIONES!AF:AF)</f>
        <v>0</v>
      </c>
      <c r="F15" s="299">
        <f>SUMIF(VENTAS!BE:BE,MONTH(B15),VENTAS!P:P)+SUMIF(VENTAS!BE:BE,MONTH(B15),VENTAS!S:S)+SUMIF(VENTAS!BE:BE,MONTH(B15),VENTAS!V:V)</f>
        <v>0</v>
      </c>
      <c r="G15" s="300">
        <f t="shared" si="0"/>
        <v>0</v>
      </c>
      <c r="H15" s="300">
        <f>ROUND(SUMIF(VENTAS!BE:BE,MONTH(B15),VENTAS!BK:BK),2)</f>
        <v>0</v>
      </c>
      <c r="I15" s="301">
        <f>ROUND(SUMIF(VENTAS!BE:BE,MONTH(B15),VENTAS!BL:BL),2)</f>
        <v>0</v>
      </c>
      <c r="J15" s="301">
        <f t="shared" si="6"/>
        <v>0</v>
      </c>
      <c r="K15" s="302">
        <f t="shared" si="7"/>
        <v>0</v>
      </c>
      <c r="L15" s="299">
        <f>SUMIF(VENTAS!BE:BE,MONTH(B15),VENTAS!AR:AR)</f>
        <v>0</v>
      </c>
      <c r="M15" s="299">
        <f>SUMIF(VENTAS!BE:BE,MONTH(B15),VENTAS!AS:AS)</f>
        <v>0</v>
      </c>
      <c r="O15" s="299">
        <f>SUMIF(COMPRAS!DB:DB,MONTH(B15),COMPRAS!DH:DH)</f>
        <v>0</v>
      </c>
      <c r="P15" s="299">
        <f>SUMIF(COMPRAS!DB:DB,MONTH(B15),COMPRAS!X:X)+SUMIF(COMPRAS!DB:DB,MONTH(B15),COMPRAS!AA:AA)+SUMIF(COMPRAS!DB:DB,MONTH(B15),COMPRAS!AD:AD)</f>
        <v>0</v>
      </c>
      <c r="Q15" s="300">
        <f t="shared" si="1"/>
        <v>0</v>
      </c>
      <c r="R15" s="299">
        <f>ROUND(SUMIF(COMPRAS!DB:DB,MONTH(B15),COMPRAS!DI:DI),2)</f>
        <v>0</v>
      </c>
      <c r="S15" s="299">
        <f>ROUND(SUMIF(COMPRAS!DB:DB,MONTH(B15),COMPRAS!DJ:DJ),2)</f>
        <v>0</v>
      </c>
      <c r="T15" s="299">
        <f>ROUND(SUMIF(COMPRAS!DB:DB,MONTH(B15),COMPRAS!DK:DK),2)</f>
        <v>0</v>
      </c>
      <c r="U15" s="300">
        <f t="shared" si="8"/>
        <v>0</v>
      </c>
      <c r="V15" s="302">
        <f t="shared" si="2"/>
        <v>0</v>
      </c>
      <c r="W15" s="299">
        <f>ROUND(SUMIF(COMPRAS!DB:DB,MONTH(B15),COMPRAS!DL:DL),2)</f>
        <v>0</v>
      </c>
      <c r="X15" s="299">
        <f>ROUND(SUMIF(COMPRAS!DB:DB,MONTH(B15),COMPRAS!DN:DN),2)</f>
        <v>0</v>
      </c>
      <c r="Y15" s="299">
        <f>ROUND(SUMIF(COMPRAS!DB:DB,MONTH(B15),COMPRAS!DM:DM),2)</f>
        <v>0</v>
      </c>
      <c r="AA15" s="303">
        <f>IF(C15&lt;&gt;C16,IF(SUMIF(C$5:C15,C15,I$5:I15)&gt;0,ROUND(((SUMIF(C$5:C15,C15,G$5:G15)-SUMIF(C$5:C15,C15,D$5:D15))/SUMIF(C$5:C15,C15,G$5:G15)),4),1),0)</f>
        <v>1</v>
      </c>
      <c r="AB15" s="304">
        <f>IF(C15&lt;&gt;C16,ROUND(SUMIF(C$5:C15,C15,T$5:T15)*AA15,2),0)</f>
        <v>0</v>
      </c>
      <c r="AC15" s="299">
        <f>IF(C15&lt;&gt;C16,IF((SUMIF(C$5:C15,C15,I$5:I15)-SUMIF(C$5:C15,C15,AB$5:AB15))&gt;0,(SUMIF(C$5:C15,C15,I$5:I15)-SUMIF(C$5:C15,C15,AB$5:AB15)),0),0)</f>
        <v>0</v>
      </c>
      <c r="AD15" s="299">
        <f>IF(C15&lt;&gt;C16,IF((SUMIF(C$5:C15,C15,I$5:I15)-SUMIF(C$5:C15,C15,AB$5:AB15))&gt;0,0,(SUMIF(C$5:C15,C15,I$5:I15)-SUMIF(C$5:C15,C15,AB$5:AB15))),0)</f>
        <v>0</v>
      </c>
      <c r="AE15" s="299">
        <f t="shared" si="9"/>
        <v>0</v>
      </c>
      <c r="AF15" s="299">
        <f t="shared" si="10"/>
        <v>0</v>
      </c>
      <c r="AG15" s="299">
        <f>-IF(C15&lt;&gt;C16,SUMIF(C$5:C15,C15,L$5:L15),0)</f>
        <v>0</v>
      </c>
      <c r="AH15" s="299">
        <f t="shared" si="11"/>
        <v>0</v>
      </c>
      <c r="AI15" s="299">
        <f t="shared" si="12"/>
        <v>0</v>
      </c>
      <c r="AK15" s="299">
        <f t="shared" si="3"/>
        <v>0</v>
      </c>
      <c r="AL15" s="299">
        <f>IF(C15&lt;&gt;C16,SUMIF(C$5:C15,C15,W$5:W15),0)</f>
        <v>0</v>
      </c>
      <c r="AM15" s="300">
        <f t="shared" si="4"/>
        <v>0</v>
      </c>
      <c r="AO15" s="301">
        <v>0</v>
      </c>
      <c r="AP15" s="301">
        <v>0</v>
      </c>
      <c r="AQ15" s="300">
        <f t="shared" si="5"/>
        <v>0</v>
      </c>
      <c r="AW15"/>
    </row>
    <row r="16" spans="2:49" ht="14.5" x14ac:dyDescent="0.35">
      <c r="B16" s="306">
        <f>VALUE("01/12/"&amp;XLSperiodo)</f>
        <v>45992</v>
      </c>
      <c r="C16" s="307">
        <f t="shared" si="13"/>
        <v>12</v>
      </c>
      <c r="D16" s="263">
        <f>SUMIF(VENTAS!BE:BE,MONTH(B16),VENTAS!CA:CA)</f>
        <v>0</v>
      </c>
      <c r="E16" s="308">
        <f>SUMIF(VENTAS!BE:BE,MONTH(B16),VENTAS!BJ:BJ)+SUMIF(EXPORTACIONES!AL:AL,MONTH(B16),EXPORTACIONES!AF:AF)</f>
        <v>0</v>
      </c>
      <c r="F16" s="308">
        <f>SUMIF(VENTAS!BE:BE,MONTH(B16),VENTAS!P:P)+SUMIF(VENTAS!BE:BE,MONTH(B16),VENTAS!S:S)+SUMIF(VENTAS!BE:BE,MONTH(B16),VENTAS!V:V)</f>
        <v>0</v>
      </c>
      <c r="G16" s="309">
        <f t="shared" si="0"/>
        <v>0</v>
      </c>
      <c r="H16" s="309">
        <f>ROUND(SUMIF(VENTAS!BE:BE,MONTH(B16),VENTAS!BK:BK),2)</f>
        <v>0</v>
      </c>
      <c r="I16" s="310">
        <f>ROUND(SUMIF(VENTAS!BE:BE,MONTH(B16),VENTAS!BL:BL),2)</f>
        <v>0</v>
      </c>
      <c r="J16" s="310">
        <f t="shared" si="6"/>
        <v>0</v>
      </c>
      <c r="K16" s="311">
        <f t="shared" si="7"/>
        <v>0</v>
      </c>
      <c r="L16" s="308">
        <f>SUMIF(VENTAS!BE:BE,MONTH(B16),VENTAS!AR:AR)</f>
        <v>0</v>
      </c>
      <c r="M16" s="308">
        <f>SUMIF(VENTAS!BE:BE,MONTH(B16),VENTAS!AS:AS)</f>
        <v>0</v>
      </c>
      <c r="O16" s="308">
        <f>SUMIF(COMPRAS!DB:DB,MONTH(B16),COMPRAS!DH:DH)</f>
        <v>0</v>
      </c>
      <c r="P16" s="308">
        <f>SUMIF(COMPRAS!DB:DB,MONTH(B16),COMPRAS!X:X)+SUMIF(COMPRAS!DB:DB,MONTH(B16),COMPRAS!AA:AA)+SUMIF(COMPRAS!DB:DB,MONTH(B16),COMPRAS!AD:AD)</f>
        <v>0</v>
      </c>
      <c r="Q16" s="309">
        <f t="shared" si="1"/>
        <v>0</v>
      </c>
      <c r="R16" s="308">
        <f>ROUND(SUMIF(COMPRAS!DB:DB,MONTH(B16),COMPRAS!DI:DI),2)</f>
        <v>0</v>
      </c>
      <c r="S16" s="308">
        <f>ROUND(SUMIF(COMPRAS!DB:DB,MONTH(B16),COMPRAS!DJ:DJ),2)</f>
        <v>0</v>
      </c>
      <c r="T16" s="308">
        <f>ROUND(SUMIF(COMPRAS!DB:DB,MONTH(B16),COMPRAS!DK:DK),2)</f>
        <v>0</v>
      </c>
      <c r="U16" s="309">
        <f t="shared" si="8"/>
        <v>0</v>
      </c>
      <c r="V16" s="311">
        <f t="shared" si="2"/>
        <v>0</v>
      </c>
      <c r="W16" s="308">
        <f>ROUND(SUMIF(COMPRAS!DB:DB,MONTH(B16),COMPRAS!DL:DL),2)</f>
        <v>0</v>
      </c>
      <c r="X16" s="308">
        <f>ROUND(SUMIF(COMPRAS!DB:DB,MONTH(B16),COMPRAS!DN:DN),2)</f>
        <v>0</v>
      </c>
      <c r="Y16" s="308">
        <f>ROUND(SUMIF(COMPRAS!DB:DB,MONTH(B16),COMPRAS!DM:DM),2)</f>
        <v>0</v>
      </c>
      <c r="AA16" s="312">
        <f>IF(C16&lt;&gt;C17,IF(SUMIF(C$5:C16,C16,I$5:I16)&gt;0,ROUND(((SUMIF(C$5:C16,C16,G$5:G16)-SUMIF(C$5:C16,C16,D$5:D16))/SUMIF(C$5:C16,C16,G$5:G16)),4),1),0)</f>
        <v>1</v>
      </c>
      <c r="AB16" s="313">
        <f>ROUND(SUMIF(C$5:C16,C16,T$5:T16)*AA16,2)</f>
        <v>0</v>
      </c>
      <c r="AC16" s="308">
        <f>IF(C16&lt;&gt;C17,IF((SUMIF(C$5:C16,C16,I$5:I16)-SUMIF(C$5:C16,C16,AB$5:AB16))&gt;0,(SUMIF(C$5:C16,C16,I$5:I16)-SUMIF(C$5:C16,C16,AB$5:AB16)),0),0)</f>
        <v>0</v>
      </c>
      <c r="AD16" s="308">
        <f>IF(C16&lt;&gt;C17,IF((SUMIF(C$5:C16,C16,I$5:I16)-SUMIF(C$5:C16,C16,AB$5:AB16))&gt;0,0,(SUMIF(C$5:C16,C16,I$5:I16)-SUMIF(C$5:C16,C16,AB$5:AB16))),0)</f>
        <v>0</v>
      </c>
      <c r="AE16" s="308">
        <f t="shared" si="9"/>
        <v>0</v>
      </c>
      <c r="AF16" s="308">
        <f t="shared" si="10"/>
        <v>0</v>
      </c>
      <c r="AG16" s="308">
        <f>-IF(C16&lt;&gt;C17,SUMIF(C$5:C16,C16,L$5:L16),0)</f>
        <v>0</v>
      </c>
      <c r="AH16" s="308">
        <f t="shared" si="11"/>
        <v>0</v>
      </c>
      <c r="AI16" s="308">
        <f t="shared" si="12"/>
        <v>0</v>
      </c>
      <c r="AK16" s="308">
        <f t="shared" si="3"/>
        <v>0</v>
      </c>
      <c r="AL16" s="308">
        <f>IF(C16&lt;&gt;C17,SUMIF(C$5:C16,C16,W$5:W16),0)</f>
        <v>0</v>
      </c>
      <c r="AM16" s="309">
        <f t="shared" si="4"/>
        <v>0</v>
      </c>
      <c r="AO16" s="310">
        <v>0</v>
      </c>
      <c r="AP16" s="310">
        <v>0</v>
      </c>
      <c r="AQ16" s="309">
        <f t="shared" si="5"/>
        <v>0</v>
      </c>
      <c r="AW16"/>
    </row>
    <row r="17" spans="1:49" ht="5.15" customHeight="1" x14ac:dyDescent="0.35">
      <c r="B17" s="314"/>
      <c r="E17" s="315"/>
      <c r="F17" s="315"/>
      <c r="G17" s="315"/>
      <c r="H17" s="315"/>
      <c r="I17" s="316"/>
      <c r="J17" s="316"/>
      <c r="K17" s="315"/>
      <c r="L17" s="315"/>
      <c r="M17" s="315"/>
      <c r="O17" s="315"/>
      <c r="P17" s="315"/>
      <c r="Q17" s="315"/>
      <c r="R17" s="315"/>
      <c r="S17" s="315"/>
      <c r="T17" s="315"/>
      <c r="U17" s="315"/>
      <c r="V17" s="315"/>
      <c r="W17" s="315"/>
      <c r="X17" s="315"/>
      <c r="Y17" s="315"/>
      <c r="AA17" s="315"/>
      <c r="AB17" s="315"/>
      <c r="AC17" s="315"/>
      <c r="AD17" s="315"/>
      <c r="AE17" s="315"/>
      <c r="AF17" s="315"/>
      <c r="AG17" s="315"/>
      <c r="AH17" s="315"/>
      <c r="AI17" s="315"/>
      <c r="AK17" s="315"/>
      <c r="AL17" s="315"/>
      <c r="AM17" s="315"/>
      <c r="AO17" s="315"/>
      <c r="AP17" s="315"/>
      <c r="AQ17" s="315"/>
      <c r="AW17"/>
    </row>
    <row r="18" spans="1:49" s="317" customFormat="1" ht="14.5" x14ac:dyDescent="0.35">
      <c r="B18" s="314"/>
      <c r="C18" s="263"/>
      <c r="D18" s="263"/>
      <c r="E18" s="302">
        <f t="shared" ref="E18:M18" si="14">SUM(E5:E17)</f>
        <v>0</v>
      </c>
      <c r="F18" s="302">
        <f t="shared" si="14"/>
        <v>0</v>
      </c>
      <c r="G18" s="302">
        <f t="shared" si="14"/>
        <v>0</v>
      </c>
      <c r="H18" s="302">
        <f t="shared" si="14"/>
        <v>0</v>
      </c>
      <c r="I18" s="302">
        <f t="shared" si="14"/>
        <v>0</v>
      </c>
      <c r="J18" s="302">
        <f t="shared" si="14"/>
        <v>0</v>
      </c>
      <c r="K18" s="302">
        <f t="shared" si="14"/>
        <v>0</v>
      </c>
      <c r="L18" s="302">
        <f t="shared" si="14"/>
        <v>0</v>
      </c>
      <c r="M18" s="302">
        <f t="shared" si="14"/>
        <v>0</v>
      </c>
      <c r="N18" s="263"/>
      <c r="O18" s="302">
        <f t="shared" ref="O18:X18" si="15">SUM(O5:O17)</f>
        <v>0</v>
      </c>
      <c r="P18" s="302">
        <f t="shared" si="15"/>
        <v>0</v>
      </c>
      <c r="Q18" s="302">
        <f t="shared" si="15"/>
        <v>0</v>
      </c>
      <c r="R18" s="302">
        <f t="shared" si="15"/>
        <v>0</v>
      </c>
      <c r="S18" s="302">
        <f>SUM(S5:S17)</f>
        <v>0</v>
      </c>
      <c r="T18" s="302">
        <f t="shared" si="15"/>
        <v>0</v>
      </c>
      <c r="U18" s="302">
        <f t="shared" si="15"/>
        <v>0</v>
      </c>
      <c r="V18" s="302">
        <f t="shared" si="15"/>
        <v>0</v>
      </c>
      <c r="W18" s="302">
        <f t="shared" si="15"/>
        <v>0</v>
      </c>
      <c r="X18" s="302">
        <f t="shared" si="15"/>
        <v>0</v>
      </c>
      <c r="Y18" s="302">
        <f t="shared" ref="Y18" si="16">SUM(Y5:Y17)</f>
        <v>0</v>
      </c>
      <c r="Z18" s="263"/>
      <c r="AA18" s="302"/>
      <c r="AB18" s="302">
        <f t="shared" ref="AB18:AI18" si="17">SUM(AB5:AB17)</f>
        <v>0</v>
      </c>
      <c r="AC18" s="302">
        <f t="shared" si="17"/>
        <v>0</v>
      </c>
      <c r="AD18" s="302">
        <f t="shared" si="17"/>
        <v>0</v>
      </c>
      <c r="AE18" s="302">
        <f t="shared" si="17"/>
        <v>0</v>
      </c>
      <c r="AF18" s="302">
        <f t="shared" si="17"/>
        <v>0</v>
      </c>
      <c r="AG18" s="302">
        <f t="shared" si="17"/>
        <v>0</v>
      </c>
      <c r="AH18" s="302">
        <f t="shared" si="17"/>
        <v>0</v>
      </c>
      <c r="AI18" s="302">
        <f t="shared" si="17"/>
        <v>0</v>
      </c>
      <c r="AJ18" s="263"/>
      <c r="AK18" s="302">
        <f>SUM(AK5:AK17)</f>
        <v>0</v>
      </c>
      <c r="AL18" s="302">
        <f>SUM(AL5:AL17)</f>
        <v>0</v>
      </c>
      <c r="AM18" s="302">
        <f>SUM(AM5:AM17)</f>
        <v>0</v>
      </c>
      <c r="AN18" s="263"/>
      <c r="AO18" s="302">
        <f>SUM(AO5:AO17)</f>
        <v>0</v>
      </c>
      <c r="AP18" s="302">
        <f>SUM(AP5:AP17)</f>
        <v>0</v>
      </c>
      <c r="AQ18" s="302">
        <f>SUM(AQ5:AQ17)</f>
        <v>0</v>
      </c>
      <c r="AU18" s="263"/>
      <c r="AV18" s="263"/>
      <c r="AW18"/>
    </row>
    <row r="19" spans="1:49" s="548" customFormat="1" ht="15" thickBot="1" x14ac:dyDescent="0.4">
      <c r="B19" s="549"/>
      <c r="D19" s="550"/>
      <c r="E19" s="551"/>
      <c r="F19" s="551"/>
      <c r="G19" s="551"/>
      <c r="H19" s="551"/>
      <c r="I19" s="551"/>
      <c r="J19" s="551"/>
      <c r="K19" s="551"/>
      <c r="L19" s="551"/>
      <c r="M19" s="551"/>
      <c r="N19" s="551"/>
      <c r="O19" s="551"/>
      <c r="P19" s="550"/>
      <c r="Q19" s="551"/>
      <c r="R19" s="551"/>
      <c r="S19" s="551"/>
      <c r="T19" s="551"/>
      <c r="U19" s="551"/>
      <c r="V19" s="551"/>
      <c r="W19" s="551"/>
      <c r="X19" s="551"/>
      <c r="Y19" s="551"/>
      <c r="Z19" s="550"/>
      <c r="AB19" s="550"/>
      <c r="AR19" s="552"/>
      <c r="AS19" s="552"/>
      <c r="AT19" s="552"/>
      <c r="AU19" s="552"/>
      <c r="AV19" s="552"/>
      <c r="AW19" s="552"/>
    </row>
    <row r="20" spans="1:49" s="784" customFormat="1" ht="15.5" x14ac:dyDescent="0.35">
      <c r="B20" s="785" t="s">
        <v>2288</v>
      </c>
      <c r="D20" s="786"/>
      <c r="E20" s="787"/>
      <c r="F20" s="787"/>
      <c r="H20" s="787"/>
      <c r="I20" s="787"/>
      <c r="J20" s="787"/>
      <c r="K20" s="787"/>
      <c r="L20" s="787"/>
      <c r="M20" s="787"/>
      <c r="N20" s="787"/>
      <c r="O20" s="787"/>
      <c r="P20" s="786"/>
      <c r="Q20" s="787"/>
      <c r="R20" s="787"/>
      <c r="S20" s="787"/>
      <c r="T20" s="787"/>
      <c r="U20" s="787"/>
      <c r="V20" s="787"/>
      <c r="W20" s="787"/>
      <c r="X20" s="787"/>
      <c r="Y20" s="787"/>
      <c r="Z20" s="786"/>
      <c r="AB20" s="786"/>
      <c r="AR20" s="788"/>
      <c r="AS20" s="788"/>
      <c r="AT20" s="788"/>
      <c r="AU20" s="788"/>
      <c r="AV20" s="788"/>
      <c r="AW20" s="788"/>
    </row>
    <row r="21" spans="1:49" s="784" customFormat="1" ht="15.5" x14ac:dyDescent="0.35">
      <c r="B21" s="924" t="s">
        <v>2019</v>
      </c>
      <c r="C21" s="924"/>
      <c r="D21" s="924"/>
      <c r="E21" s="924"/>
      <c r="F21" s="924"/>
      <c r="G21" s="924"/>
      <c r="H21" s="787"/>
      <c r="I21" s="787"/>
      <c r="J21" s="787"/>
      <c r="K21" s="787"/>
      <c r="L21" s="787"/>
      <c r="M21" s="787"/>
      <c r="N21" s="787"/>
      <c r="O21" s="787"/>
      <c r="P21" s="786"/>
      <c r="Q21" s="787"/>
      <c r="R21" s="787"/>
      <c r="S21" s="787"/>
      <c r="T21" s="787"/>
      <c r="U21" s="787"/>
      <c r="V21" s="787"/>
      <c r="W21" s="787"/>
      <c r="X21" s="787"/>
      <c r="Y21" s="787"/>
      <c r="Z21" s="786"/>
      <c r="AB21" s="786"/>
      <c r="AR21" s="788"/>
      <c r="AS21" s="788"/>
      <c r="AT21" s="788"/>
      <c r="AU21" s="788"/>
      <c r="AV21" s="788"/>
      <c r="AW21" s="788"/>
    </row>
    <row r="22" spans="1:49" s="265" customFormat="1" ht="39" x14ac:dyDescent="0.3">
      <c r="A22" s="435" t="str">
        <f>+Parametros!C139</f>
        <v>RIMPE</v>
      </c>
      <c r="K22" s="436" t="s">
        <v>1543</v>
      </c>
      <c r="L22" s="436" t="s">
        <v>1546</v>
      </c>
      <c r="M22" s="553" t="s">
        <v>2061</v>
      </c>
    </row>
    <row r="23" spans="1:49" s="317" customFormat="1" ht="13" x14ac:dyDescent="0.3">
      <c r="A23" s="317" t="s">
        <v>1545</v>
      </c>
      <c r="G23" s="556"/>
      <c r="H23" s="556"/>
      <c r="J23" s="555"/>
      <c r="K23" s="585">
        <f>SUM(K24:K26)</f>
        <v>0</v>
      </c>
      <c r="L23" s="585">
        <f>SUM(L24:L26)</f>
        <v>0</v>
      </c>
      <c r="M23" s="586">
        <f>SUM(M24:M26)</f>
        <v>0</v>
      </c>
    </row>
    <row r="24" spans="1:49" hidden="1" outlineLevel="1" x14ac:dyDescent="0.25">
      <c r="B24" s="925" t="s">
        <v>19</v>
      </c>
      <c r="C24" s="925"/>
      <c r="D24" s="925"/>
      <c r="E24" s="925"/>
      <c r="F24" s="925"/>
      <c r="G24" s="925"/>
      <c r="J24" s="265"/>
      <c r="K24" s="318">
        <f>SUMIFS(VENTAS!$M:$M,VENTAS!$AI:$AI,$A$22,VENTAS!$H:$H,$B24,VENTAS!$BE:$BE,"&lt;7")+SUMIFS(VENTAS!$O:$O,VENTAS!$AI:$AI,$A$22,VENTAS!$H:$H,$B24,VENTAS!$BE:$BE,"&lt;7")+SUMIFS(VENTAS!$P:$P,VENTAS!$AI:$AI,$A$22,VENTAS!$H:$H,$B24,VENTAS!$BE:$BE,"&lt;7")+SUMIFS(VENTAS!$S:$S,VENTAS!$AI:$AI,$A$22,VENTAS!$H:$H,$B24,VENTAS!$BE:$BE,"&lt;7")+SUMIFS(VENTAS!$V:$V,VENTAS!$AI:$AI,$A$22,VENTAS!$H:$H,$B24,VENTAS!$BE:$BE,"&lt;7")</f>
        <v>0</v>
      </c>
      <c r="L24" s="318">
        <f>SUMIFS(VENTAS!$M:$M,VENTAS!$AI:$AI,$A$22,VENTAS!$H:$H,$B24,VENTAS!$BE:$BE,"&gt;6")+SUMIFS(VENTAS!$O:$O,VENTAS!$AI:$AI,$A$22,VENTAS!$H:$H,$B24,VENTAS!$BE:$BE,"&gt;6")+SUMIFS(VENTAS!$P:$P,VENTAS!$AI:$AI,$A$22,VENTAS!$H:$H,$B24,VENTAS!$BE:$BE,"&gt;6")+SUMIFS(VENTAS!$S:$S,VENTAS!$AI:$AI,$A$22,VENTAS!$H:$H,$B24,VENTAS!$BE:$BE,"&gt;6")+SUMIFS(VENTAS!$V:$V,VENTAS!$AI:$AI,$A$22,VENTAS!$H:$H,$B24,VENTAS!$BE:$BE,"&gt;6")</f>
        <v>0</v>
      </c>
      <c r="M24" s="438">
        <f t="shared" ref="M24:M30" si="18">K24+L24</f>
        <v>0</v>
      </c>
    </row>
    <row r="25" spans="1:49" hidden="1" outlineLevel="1" x14ac:dyDescent="0.25">
      <c r="B25" s="925" t="s">
        <v>1075</v>
      </c>
      <c r="C25" s="925"/>
      <c r="D25" s="925"/>
      <c r="E25" s="925"/>
      <c r="F25" s="925"/>
      <c r="G25" s="925"/>
      <c r="J25" s="265"/>
      <c r="K25" s="318">
        <f>SUMIFS(VENTAS!$M:$M,VENTAS!$AI:$AI,$A$22,VENTAS!$H:$H,$B25,VENTAS!$BE:$BE,"&lt;7")+SUMIFS(VENTAS!$O:$O,VENTAS!$AI:$AI,$A$22,VENTAS!$H:$H,$B25,VENTAS!$BE:$BE,"&lt;7")+SUMIFS(VENTAS!$P:$P,VENTAS!$AI:$AI,$A$22,VENTAS!$H:$H,$B25,VENTAS!$BE:$BE,"&lt;7")+SUMIFS(VENTAS!$S:$S,VENTAS!$AI:$AI,$A$22,VENTAS!$H:$H,$B25,VENTAS!$BE:$BE,"&lt;7")+SUMIFS(VENTAS!$V:$V,VENTAS!$AI:$AI,$A$22,VENTAS!$H:$H,$B25,VENTAS!$BE:$BE,"&lt;7")</f>
        <v>0</v>
      </c>
      <c r="L25" s="318">
        <f>SUMIFS(VENTAS!$M:$M,VENTAS!$AI:$AI,$A$22,VENTAS!$H:$H,$B25,VENTAS!$BE:$BE,"&gt;6")+SUMIFS(VENTAS!$O:$O,VENTAS!$AI:$AI,$A$22,VENTAS!$H:$H,$B25,VENTAS!$BE:$BE,"&gt;6")+SUMIFS(VENTAS!$P:$P,VENTAS!$AI:$AI,$A$22,VENTAS!$H:$H,$B25,VENTAS!$BE:$BE,"&gt;6")+SUMIFS(VENTAS!$S:$S,VENTAS!$AI:$AI,$A$22,VENTAS!$H:$H,$B25,VENTAS!$BE:$BE,"&gt;6")+SUMIFS(VENTAS!$V:$V,VENTAS!$AI:$AI,$A$22,VENTAS!$H:$H,$B25,VENTAS!$BE:$BE,"&gt;6")</f>
        <v>0</v>
      </c>
      <c r="M25" s="438">
        <f t="shared" si="18"/>
        <v>0</v>
      </c>
    </row>
    <row r="26" spans="1:49" hidden="1" outlineLevel="1" x14ac:dyDescent="0.25">
      <c r="B26" s="925"/>
      <c r="C26" s="925"/>
      <c r="D26" s="925"/>
      <c r="E26" s="925"/>
      <c r="F26" s="925"/>
      <c r="G26" s="925"/>
      <c r="J26" s="265"/>
      <c r="K26" s="318">
        <f>SUMIFS(VENTAS!$M:$M,VENTAS!$AI:$AI,$A$22,VENTAS!$H:$H,$B26,VENTAS!$BE:$BE,"&lt;7")+SUMIFS(VENTAS!$O:$O,VENTAS!$AI:$AI,$A$22,VENTAS!$H:$H,$B26,VENTAS!$BE:$BE,"&lt;7")+SUMIFS(VENTAS!$P:$P,VENTAS!$AI:$AI,$A$22,VENTAS!$H:$H,$B26,VENTAS!$BE:$BE,"&lt;7")+SUMIFS(VENTAS!$S:$S,VENTAS!$AI:$AI,$A$22,VENTAS!$H:$H,$B26,VENTAS!$BE:$BE,"&lt;7")+SUMIFS(VENTAS!$V:$V,VENTAS!$AI:$AI,$A$22,VENTAS!$H:$H,$B26,VENTAS!$BE:$BE,"&lt;7")</f>
        <v>0</v>
      </c>
      <c r="L26" s="318">
        <f>SUMIFS(VENTAS!$M:$M,VENTAS!$AI:$AI,$A$22,VENTAS!$H:$H,$B26,VENTAS!$BE:$BE,"&gt;6")+SUMIFS(VENTAS!$O:$O,VENTAS!$AI:$AI,$A$22,VENTAS!$H:$H,$B26,VENTAS!$BE:$BE,"&gt;6")+SUMIFS(VENTAS!$P:$P,VENTAS!$AI:$AI,$A$22,VENTAS!$H:$H,$B26,VENTAS!$BE:$BE,"&gt;6")+SUMIFS(VENTAS!$S:$S,VENTAS!$AI:$AI,$A$22,VENTAS!$H:$H,$B26,VENTAS!$BE:$BE,"&gt;6")+SUMIFS(VENTAS!$V:$V,VENTAS!$AI:$AI,$A$22,VENTAS!$H:$H,$B26,VENTAS!$BE:$BE,"&gt;6")</f>
        <v>0</v>
      </c>
      <c r="M26" s="438">
        <f t="shared" si="18"/>
        <v>0</v>
      </c>
    </row>
    <row r="27" spans="1:49" s="317" customFormat="1" ht="13" collapsed="1" x14ac:dyDescent="0.3">
      <c r="A27" s="317" t="s">
        <v>1544</v>
      </c>
      <c r="J27" s="555"/>
      <c r="K27" s="585">
        <f>SUM(K28:K30)</f>
        <v>0</v>
      </c>
      <c r="L27" s="585">
        <f>SUM(L28:L30)</f>
        <v>0</v>
      </c>
      <c r="M27" s="585">
        <f>SUM(M28:M30)</f>
        <v>0</v>
      </c>
    </row>
    <row r="28" spans="1:49" hidden="1" outlineLevel="1" x14ac:dyDescent="0.25">
      <c r="B28" s="925" t="s">
        <v>12</v>
      </c>
      <c r="C28" s="925"/>
      <c r="D28" s="925"/>
      <c r="E28" s="925"/>
      <c r="F28" s="925"/>
      <c r="G28" s="925"/>
      <c r="J28" s="265"/>
      <c r="K28" s="441">
        <f>SUMIFS(VENTAS!$M:$M,VENTAS!$AI:$AI,$A$22,VENTAS!$H:$H,$B28,VENTAS!$BE:$BE,"&lt;7")+SUMIFS(VENTAS!$O:$O,VENTAS!$AI:$AI,$A$22,VENTAS!$H:$H,$B28,VENTAS!$BE:$BE,"&lt;7")+SUMIFS(VENTAS!$P:$P,VENTAS!$AI:$AI,$A$22,VENTAS!$H:$H,$B28,VENTAS!$BE:$BE,"&lt;7")+SUMIFS(VENTAS!$S:$S,VENTAS!$AI:$AI,$A$22,VENTAS!$H:$H,$B28,VENTAS!$BE:$BE,"&lt;7")+SUMIFS(VENTAS!$V:$V,VENTAS!$AI:$AI,$A$22,VENTAS!$H:$H,$B28,VENTAS!$BE:$BE,"&lt;7")</f>
        <v>0</v>
      </c>
      <c r="L28" s="441">
        <f>SUMIFS(VENTAS!$M:$M,VENTAS!$AI:$AI,$A$22,VENTAS!$H:$H,$B28,VENTAS!$BE:$BE,"&gt;6")+SUMIFS(VENTAS!$O:$O,VENTAS!$AI:$AI,$A$22,VENTAS!$H:$H,$B28,VENTAS!$BE:$BE,"&gt;6")+SUMIFS(VENTAS!$P:$P,VENTAS!$AI:$AI,$A$22,VENTAS!$H:$H,$B28,VENTAS!$BE:$BE,"&gt;6")+SUMIFS(VENTAS!$S:$S,VENTAS!$AI:$AI,$A$22,VENTAS!$H:$H,$B28,VENTAS!$BE:$BE,"&gt;6")+SUMIFS(VENTAS!$V:$V,VENTAS!$AI:$AI,$A$22,VENTAS!$H:$H,$B28,VENTAS!$BE:$BE,"&gt;6")</f>
        <v>0</v>
      </c>
      <c r="M28" s="438">
        <f t="shared" si="18"/>
        <v>0</v>
      </c>
    </row>
    <row r="29" spans="1:49" hidden="1" outlineLevel="1" x14ac:dyDescent="0.25">
      <c r="B29" s="925" t="s">
        <v>1078</v>
      </c>
      <c r="C29" s="925"/>
      <c r="D29" s="925"/>
      <c r="E29" s="925"/>
      <c r="F29" s="925"/>
      <c r="G29" s="925"/>
      <c r="J29" s="265"/>
      <c r="K29" s="318">
        <f>SUMIFS(VENTAS!$M:$M,VENTAS!$AI:$AI,$A$22,VENTAS!$H:$H,$B29,VENTAS!$BE:$BE,"&lt;7")+SUMIFS(VENTAS!$O:$O,VENTAS!$AI:$AI,$A$22,VENTAS!$H:$H,$B29,VENTAS!$BE:$BE,"&lt;7")+SUMIFS(VENTAS!$P:$P,VENTAS!$AI:$AI,$A$22,VENTAS!$H:$H,$B29,VENTAS!$BE:$BE,"&lt;7")+SUMIFS(VENTAS!$S:$S,VENTAS!$AI:$AI,$A$22,VENTAS!$H:$H,$B29,VENTAS!$BE:$BE,"&lt;7")+SUMIFS(VENTAS!$V:$V,VENTAS!$AI:$AI,$A$22,VENTAS!$H:$H,$B29,VENTAS!$BE:$BE,"&lt;7")</f>
        <v>0</v>
      </c>
      <c r="L29" s="318">
        <f>SUMIFS(VENTAS!$M:$M,VENTAS!$AI:$AI,$A$22,VENTAS!$H:$H,$B29,VENTAS!$BE:$BE,"&gt;6")+SUMIFS(VENTAS!$O:$O,VENTAS!$AI:$AI,$A$22,VENTAS!$H:$H,$B29,VENTAS!$BE:$BE,"&gt;6")+SUMIFS(VENTAS!$P:$P,VENTAS!$AI:$AI,$A$22,VENTAS!$H:$H,$B29,VENTAS!$BE:$BE,"&gt;6")+SUMIFS(VENTAS!$S:$S,VENTAS!$AI:$AI,$A$22,VENTAS!$H:$H,$B29,VENTAS!$BE:$BE,"&gt;6")+SUMIFS(VENTAS!$V:$V,VENTAS!$AI:$AI,$A$22,VENTAS!$H:$H,$B29,VENTAS!$BE:$BE,"&gt;6")</f>
        <v>0</v>
      </c>
      <c r="M29" s="438">
        <f t="shared" si="18"/>
        <v>0</v>
      </c>
    </row>
    <row r="30" spans="1:49" hidden="1" outlineLevel="1" x14ac:dyDescent="0.25">
      <c r="B30" s="925"/>
      <c r="C30" s="925"/>
      <c r="D30" s="925"/>
      <c r="E30" s="925"/>
      <c r="F30" s="925"/>
      <c r="G30" s="925"/>
      <c r="J30" s="265"/>
      <c r="K30" s="441">
        <f>SUMIFS(VENTAS!$M:$M,VENTAS!$AI:$AI,$A$22,VENTAS!$H:$H,$B30,VENTAS!$BE:$BE,"&lt;7")+SUMIFS(VENTAS!$O:$O,VENTAS!$AI:$AI,$A$22,VENTAS!$H:$H,$B30,VENTAS!$BE:$BE,"&lt;7")+SUMIFS(VENTAS!$P:$P,VENTAS!$AI:$AI,$A$22,VENTAS!$H:$H,$B30,VENTAS!$BE:$BE,"&lt;7")+SUMIFS(VENTAS!$S:$S,VENTAS!$AI:$AI,$A$22,VENTAS!$H:$H,$B30,VENTAS!$BE:$BE,"&lt;7")+SUMIFS(VENTAS!$V:$V,VENTAS!$AI:$AI,$A$22,VENTAS!$H:$H,$B30,VENTAS!$BE:$BE,"&lt;7")</f>
        <v>0</v>
      </c>
      <c r="L30" s="441">
        <f>SUMIFS(VENTAS!$M:$M,VENTAS!$AI:$AI,$A$22,VENTAS!$H:$H,$B30,VENTAS!$BE:$BE,"&gt;6")+SUMIFS(VENTAS!$O:$O,VENTAS!$AI:$AI,$A$22,VENTAS!$H:$H,$B30,VENTAS!$BE:$BE,"&gt;6")+SUMIFS(VENTAS!$P:$P,VENTAS!$AI:$AI,$A$22,VENTAS!$H:$H,$B30,VENTAS!$BE:$BE,"&gt;6")+SUMIFS(VENTAS!$S:$S,VENTAS!$AI:$AI,$A$22,VENTAS!$H:$H,$B30,VENTAS!$BE:$BE,"&gt;6")+SUMIFS(VENTAS!$V:$V,VENTAS!$AI:$AI,$A$22,VENTAS!$H:$H,$B30,VENTAS!$BE:$BE,"&gt;6")</f>
        <v>0</v>
      </c>
      <c r="M30" s="441">
        <f t="shared" si="18"/>
        <v>0</v>
      </c>
    </row>
    <row r="31" spans="1:49" s="317" customFormat="1" ht="13.5" collapsed="1" thickBot="1" x14ac:dyDescent="0.35">
      <c r="A31" s="317" t="s">
        <v>992</v>
      </c>
      <c r="B31" s="547"/>
      <c r="C31" s="547"/>
      <c r="D31" s="547"/>
      <c r="E31" s="547"/>
      <c r="F31" s="547"/>
      <c r="G31" s="547"/>
      <c r="H31" s="547"/>
      <c r="I31" s="547"/>
      <c r="J31" s="265"/>
      <c r="K31" s="554">
        <f>K23+K27</f>
        <v>0</v>
      </c>
      <c r="L31" s="554">
        <f>L23+L27</f>
        <v>0</v>
      </c>
      <c r="M31" s="554">
        <f>K31+L31</f>
        <v>0</v>
      </c>
    </row>
    <row r="32" spans="1:49" ht="13.5" thickTop="1" x14ac:dyDescent="0.3">
      <c r="A32" s="263" t="s">
        <v>2062</v>
      </c>
      <c r="K32" s="438"/>
      <c r="L32" s="438"/>
      <c r="M32" s="437">
        <f>IF(B21="RIMPE EMPRENDEDOR",VLOOKUP(M31,tbl_Empre,3,1),IF(B21="RIMPE NEGOCIO POPULAR",VLOOKUP(M31,tbl_NegPop,3,1),0))</f>
        <v>0</v>
      </c>
    </row>
    <row r="33" spans="1:27" ht="13" x14ac:dyDescent="0.3">
      <c r="A33" s="263" t="s">
        <v>2063</v>
      </c>
      <c r="H33" s="439"/>
      <c r="J33" s="463"/>
      <c r="K33" s="438"/>
      <c r="L33" s="438"/>
      <c r="M33" s="437">
        <f>IF(B21="RIMPE EMPRENDEDOR",(M31-VLOOKUP(M31,tbl_Empre,1,1))*VLOOKUP(M31,tbl_Empre,4,1),0)</f>
        <v>0</v>
      </c>
    </row>
    <row r="34" spans="1:27" ht="13" x14ac:dyDescent="0.3">
      <c r="A34" s="263" t="s">
        <v>1575</v>
      </c>
      <c r="K34" s="441">
        <f>-SUMIFS(VENTAS!$AS:$AS,VENTAS!$AI:$AI,$A$22,VENTAS!$BE:$BE,"&lt;7")</f>
        <v>0</v>
      </c>
      <c r="L34" s="441">
        <f>-SUMIFS(VENTAS!$AS:$AS,VENTAS!$AI:$AI,$A$22,VENTAS!$BE:$BE,"&gt;6")</f>
        <v>0</v>
      </c>
      <c r="M34" s="437">
        <f>SUM(K34:L34)</f>
        <v>0</v>
      </c>
    </row>
    <row r="35" spans="1:27" ht="13.5" thickBot="1" x14ac:dyDescent="0.35">
      <c r="A35" s="317" t="s">
        <v>1547</v>
      </c>
      <c r="K35" s="554">
        <f t="shared" ref="K35:L35" si="19">SUM(K32:K34)</f>
        <v>0</v>
      </c>
      <c r="L35" s="554">
        <f t="shared" si="19"/>
        <v>0</v>
      </c>
      <c r="M35" s="554">
        <f>SUM(M32:M34)</f>
        <v>0</v>
      </c>
    </row>
    <row r="36" spans="1:27" s="548" customFormat="1" ht="14" thickTop="1" thickBot="1" x14ac:dyDescent="0.35">
      <c r="A36" s="557"/>
      <c r="K36" s="558"/>
      <c r="L36" s="558"/>
      <c r="M36" s="558"/>
    </row>
    <row r="37" spans="1:27" s="265" customFormat="1" ht="39" x14ac:dyDescent="0.3">
      <c r="A37" s="435" t="str">
        <f>Parametros!C140</f>
        <v>MICROEMPRESA Y ACTIVIDADES  INCLUYENTES</v>
      </c>
      <c r="K37" s="436" t="s">
        <v>1543</v>
      </c>
      <c r="L37" s="436" t="s">
        <v>1546</v>
      </c>
      <c r="M37" s="553" t="s">
        <v>2061</v>
      </c>
    </row>
    <row r="38" spans="1:27" s="317" customFormat="1" ht="13" x14ac:dyDescent="0.3">
      <c r="A38" s="317" t="s">
        <v>1545</v>
      </c>
      <c r="G38" s="556"/>
      <c r="H38" s="556"/>
      <c r="J38" s="555"/>
      <c r="K38" s="585">
        <f>SUM(K39:K41)</f>
        <v>0</v>
      </c>
      <c r="L38" s="585">
        <f>SUM(L39:L41)</f>
        <v>0</v>
      </c>
      <c r="M38" s="555"/>
    </row>
    <row r="39" spans="1:27" hidden="1" outlineLevel="1" x14ac:dyDescent="0.25">
      <c r="B39" s="925" t="s">
        <v>19</v>
      </c>
      <c r="C39" s="925"/>
      <c r="D39" s="925"/>
      <c r="E39" s="925"/>
      <c r="F39" s="925"/>
      <c r="G39" s="925"/>
      <c r="J39" s="265"/>
      <c r="K39" s="318">
        <f>SUMIFS(VENTAS!$M:$M,VENTAS!$AI:$AI,$A$22,VENTAS!$H:$H,$B39,VENTAS!$BE:$BE,"&lt;7")+SUMIFS(VENTAS!$O:$O,VENTAS!$AI:$AI,$A$22,VENTAS!$H:$H,$B39,VENTAS!$BE:$BE,"&lt;7")+SUMIFS(VENTAS!$P:$P,VENTAS!$AI:$AI,$A$22,VENTAS!$H:$H,$B39,VENTAS!$BE:$BE,"&lt;7")+SUMIFS(VENTAS!$S:$S,VENTAS!$AI:$AI,$A$22,VENTAS!$H:$H,$B39,VENTAS!$BE:$BE,"&lt;7")+SUMIFS(VENTAS!$V:$V,VENTAS!$AI:$AI,$A$22,VENTAS!$H:$H,$B39,VENTAS!$BE:$BE,"&lt;7")</f>
        <v>0</v>
      </c>
      <c r="L39" s="318">
        <f>SUMIFS(VENTAS!$M:$M,VENTAS!$AI:$AI,$A$22,VENTAS!$H:$H,$B39,VENTAS!$BE:$BE,"&gt;6")+SUMIFS(VENTAS!$O:$O,VENTAS!$AI:$AI,$A$22,VENTAS!$H:$H,$B39,VENTAS!$BE:$BE,"&gt;6")+SUMIFS(VENTAS!$P:$P,VENTAS!$AI:$AI,$A$22,VENTAS!$H:$H,$B39,VENTAS!$BE:$BE,"&gt;6")+SUMIFS(VENTAS!$S:$S,VENTAS!$AI:$AI,$A$22,VENTAS!$H:$H,$B39,VENTAS!$BE:$BE,"&gt;6")+SUMIFS(VENTAS!$V:$V,VENTAS!$AI:$AI,$A$22,VENTAS!$H:$H,$B39,VENTAS!$BE:$BE,"&gt;6")</f>
        <v>0</v>
      </c>
      <c r="M39" s="265"/>
    </row>
    <row r="40" spans="1:27" hidden="1" outlineLevel="1" x14ac:dyDescent="0.25">
      <c r="B40" s="925" t="s">
        <v>1075</v>
      </c>
      <c r="C40" s="925"/>
      <c r="D40" s="925"/>
      <c r="E40" s="925"/>
      <c r="F40" s="925"/>
      <c r="G40" s="925"/>
      <c r="J40" s="265"/>
      <c r="K40" s="318">
        <f>SUMIFS(VENTAS!$M:$M,VENTAS!$AI:$AI,$A$22,VENTAS!$H:$H,$B40,VENTAS!$BE:$BE,"&lt;7")+SUMIFS(VENTAS!$O:$O,VENTAS!$AI:$AI,$A$22,VENTAS!$H:$H,$B40,VENTAS!$BE:$BE,"&lt;7")+SUMIFS(VENTAS!$P:$P,VENTAS!$AI:$AI,$A$22,VENTAS!$H:$H,$B40,VENTAS!$BE:$BE,"&lt;7")+SUMIFS(VENTAS!$S:$S,VENTAS!$AI:$AI,$A$22,VENTAS!$H:$H,$B40,VENTAS!$BE:$BE,"&lt;7")+SUMIFS(VENTAS!$V:$V,VENTAS!$AI:$AI,$A$22,VENTAS!$H:$H,$B40,VENTAS!$BE:$BE,"&lt;7")</f>
        <v>0</v>
      </c>
      <c r="L40" s="318">
        <f>SUMIFS(VENTAS!$M:$M,VENTAS!$AI:$AI,$A$22,VENTAS!$H:$H,$B40,VENTAS!$BE:$BE,"&gt;6")+SUMIFS(VENTAS!$O:$O,VENTAS!$AI:$AI,$A$22,VENTAS!$H:$H,$B40,VENTAS!$BE:$BE,"&gt;6")+SUMIFS(VENTAS!$P:$P,VENTAS!$AI:$AI,$A$22,VENTAS!$H:$H,$B40,VENTAS!$BE:$BE,"&gt;6")+SUMIFS(VENTAS!$S:$S,VENTAS!$AI:$AI,$A$22,VENTAS!$H:$H,$B40,VENTAS!$BE:$BE,"&gt;6")+SUMIFS(VENTAS!$V:$V,VENTAS!$AI:$AI,$A$22,VENTAS!$H:$H,$B40,VENTAS!$BE:$BE,"&gt;6")</f>
        <v>0</v>
      </c>
      <c r="M40" s="265"/>
    </row>
    <row r="41" spans="1:27" hidden="1" outlineLevel="1" x14ac:dyDescent="0.25">
      <c r="B41" s="925"/>
      <c r="C41" s="925"/>
      <c r="D41" s="925"/>
      <c r="E41" s="925"/>
      <c r="F41" s="925"/>
      <c r="G41" s="925"/>
      <c r="J41" s="265"/>
      <c r="K41" s="318">
        <f>SUMIFS(VENTAS!$M:$M,VENTAS!$AI:$AI,$A$22,VENTAS!$H:$H,$B41,VENTAS!$BE:$BE,"&lt;7")+SUMIFS(VENTAS!$O:$O,VENTAS!$AI:$AI,$A$22,VENTAS!$H:$H,$B41,VENTAS!$BE:$BE,"&lt;7")+SUMIFS(VENTAS!$P:$P,VENTAS!$AI:$AI,$A$22,VENTAS!$H:$H,$B41,VENTAS!$BE:$BE,"&lt;7")+SUMIFS(VENTAS!$S:$S,VENTAS!$AI:$AI,$A$22,VENTAS!$H:$H,$B41,VENTAS!$BE:$BE,"&lt;7")+SUMIFS(VENTAS!$V:$V,VENTAS!$AI:$AI,$A$22,VENTAS!$H:$H,$B41,VENTAS!$BE:$BE,"&lt;7")</f>
        <v>0</v>
      </c>
      <c r="L41" s="318">
        <f>SUMIFS(VENTAS!$M:$M,VENTAS!$AI:$AI,$A$22,VENTAS!$H:$H,$B41,VENTAS!$BE:$BE,"&gt;6")+SUMIFS(VENTAS!$O:$O,VENTAS!$AI:$AI,$A$22,VENTAS!$H:$H,$B41,VENTAS!$BE:$BE,"&gt;6")+SUMIFS(VENTAS!$P:$P,VENTAS!$AI:$AI,$A$22,VENTAS!$H:$H,$B41,VENTAS!$BE:$BE,"&gt;6")+SUMIFS(VENTAS!$S:$S,VENTAS!$AI:$AI,$A$22,VENTAS!$H:$H,$B41,VENTAS!$BE:$BE,"&gt;6")+SUMIFS(VENTAS!$V:$V,VENTAS!$AI:$AI,$A$22,VENTAS!$H:$H,$B41,VENTAS!$BE:$BE,"&gt;6")</f>
        <v>0</v>
      </c>
      <c r="M41" s="265"/>
    </row>
    <row r="42" spans="1:27" s="317" customFormat="1" ht="13" collapsed="1" x14ac:dyDescent="0.3">
      <c r="A42" s="317" t="s">
        <v>1544</v>
      </c>
      <c r="J42" s="555"/>
      <c r="K42" s="585">
        <f>SUM(K43:K45)</f>
        <v>0</v>
      </c>
      <c r="L42" s="585">
        <f>SUM(L43:L45)</f>
        <v>0</v>
      </c>
      <c r="M42" s="555"/>
    </row>
    <row r="43" spans="1:27" hidden="1" outlineLevel="1" x14ac:dyDescent="0.25">
      <c r="B43" s="925" t="s">
        <v>12</v>
      </c>
      <c r="C43" s="925"/>
      <c r="D43" s="925"/>
      <c r="E43" s="925"/>
      <c r="F43" s="925"/>
      <c r="G43" s="925"/>
      <c r="J43" s="265"/>
      <c r="K43" s="318">
        <f>SUMIFS(VENTAS!$M:$M,VENTAS!$AI:$AI,$A$22,VENTAS!$H:$H,$B43,VENTAS!$BE:$BE,"&lt;7")+SUMIFS(VENTAS!$O:$O,VENTAS!$AI:$AI,$A$22,VENTAS!$H:$H,$B43,VENTAS!$BE:$BE,"&lt;7")+SUMIFS(VENTAS!$P:$P,VENTAS!$AI:$AI,$A$22,VENTAS!$H:$H,$B43,VENTAS!$BE:$BE,"&lt;7")+SUMIFS(VENTAS!$S:$S,VENTAS!$AI:$AI,$A$22,VENTAS!$H:$H,$B43,VENTAS!$BE:$BE,"&lt;7")+SUMIFS(VENTAS!$V:$V,VENTAS!$AI:$AI,$A$22,VENTAS!$H:$H,$B43,VENTAS!$BE:$BE,"&lt;7")</f>
        <v>0</v>
      </c>
      <c r="L43" s="318">
        <f>SUMIFS(VENTAS!$M:$M,VENTAS!$AI:$AI,$A$22,VENTAS!$H:$H,$B43,VENTAS!$BE:$BE,"&gt;6")+SUMIFS(VENTAS!$O:$O,VENTAS!$AI:$AI,$A$22,VENTAS!$H:$H,$B43,VENTAS!$BE:$BE,"&gt;6")+SUMIFS(VENTAS!$P:$P,VENTAS!$AI:$AI,$A$22,VENTAS!$H:$H,$B43,VENTAS!$BE:$BE,"&gt;6")+SUMIFS(VENTAS!$S:$S,VENTAS!$AI:$AI,$A$22,VENTAS!$H:$H,$B43,VENTAS!$BE:$BE,"&gt;6")+SUMIFS(VENTAS!$V:$V,VENTAS!$AI:$AI,$A$22,VENTAS!$H:$H,$B43,VENTAS!$BE:$BE,"&gt;6")</f>
        <v>0</v>
      </c>
      <c r="M43" s="265"/>
    </row>
    <row r="44" spans="1:27" hidden="1" outlineLevel="1" x14ac:dyDescent="0.25">
      <c r="B44" s="925" t="s">
        <v>1078</v>
      </c>
      <c r="C44" s="925"/>
      <c r="D44" s="925"/>
      <c r="E44" s="925"/>
      <c r="F44" s="925"/>
      <c r="G44" s="925"/>
      <c r="J44" s="265"/>
      <c r="K44" s="318">
        <f>SUMIFS(VENTAS!$M:$M,VENTAS!$AI:$AI,$A$22,VENTAS!$H:$H,$B44,VENTAS!$BE:$BE,"&lt;7")+SUMIFS(VENTAS!$O:$O,VENTAS!$AI:$AI,$A$22,VENTAS!$H:$H,$B44,VENTAS!$BE:$BE,"&lt;7")+SUMIFS(VENTAS!$P:$P,VENTAS!$AI:$AI,$A$22,VENTAS!$H:$H,$B44,VENTAS!$BE:$BE,"&lt;7")+SUMIFS(VENTAS!$S:$S,VENTAS!$AI:$AI,$A$22,VENTAS!$H:$H,$B44,VENTAS!$BE:$BE,"&lt;7")+SUMIFS(VENTAS!$V:$V,VENTAS!$AI:$AI,$A$22,VENTAS!$H:$H,$B44,VENTAS!$BE:$BE,"&lt;7")</f>
        <v>0</v>
      </c>
      <c r="L44" s="318">
        <f>SUMIFS(VENTAS!$M:$M,VENTAS!$AI:$AI,$A$22,VENTAS!$H:$H,$B44,VENTAS!$BE:$BE,"&gt;6")+SUMIFS(VENTAS!$O:$O,VENTAS!$AI:$AI,$A$22,VENTAS!$H:$H,$B44,VENTAS!$BE:$BE,"&gt;6")+SUMIFS(VENTAS!$P:$P,VENTAS!$AI:$AI,$A$22,VENTAS!$H:$H,$B44,VENTAS!$BE:$BE,"&gt;6")+SUMIFS(VENTAS!$S:$S,VENTAS!$AI:$AI,$A$22,VENTAS!$H:$H,$B44,VENTAS!$BE:$BE,"&gt;6")+SUMIFS(VENTAS!$V:$V,VENTAS!$AI:$AI,$A$22,VENTAS!$H:$H,$B44,VENTAS!$BE:$BE,"&gt;6")</f>
        <v>0</v>
      </c>
      <c r="M44" s="265"/>
    </row>
    <row r="45" spans="1:27" hidden="1" outlineLevel="1" x14ac:dyDescent="0.25">
      <c r="B45" s="925"/>
      <c r="C45" s="925"/>
      <c r="D45" s="925"/>
      <c r="E45" s="925"/>
      <c r="F45" s="925"/>
      <c r="G45" s="925"/>
      <c r="J45" s="265"/>
      <c r="K45" s="318">
        <f>SUMIFS(VENTAS!$M:$M,VENTAS!$AI:$AI,$A$22,VENTAS!$H:$H,$B45,VENTAS!$BE:$BE,"&lt;7")+SUMIFS(VENTAS!$O:$O,VENTAS!$AI:$AI,$A$22,VENTAS!$H:$H,$B45,VENTAS!$BE:$BE,"&lt;7")+SUMIFS(VENTAS!$P:$P,VENTAS!$AI:$AI,$A$22,VENTAS!$H:$H,$B45,VENTAS!$BE:$BE,"&lt;7")+SUMIFS(VENTAS!$S:$S,VENTAS!$AI:$AI,$A$22,VENTAS!$H:$H,$B45,VENTAS!$BE:$BE,"&lt;7")+SUMIFS(VENTAS!$V:$V,VENTAS!$AI:$AI,$A$22,VENTAS!$H:$H,$B45,VENTAS!$BE:$BE,"&lt;7")</f>
        <v>0</v>
      </c>
      <c r="L45" s="318">
        <f>SUMIFS(VENTAS!$M:$M,VENTAS!$AI:$AI,$A$22,VENTAS!$H:$H,$B45,VENTAS!$BE:$BE,"&gt;6")+SUMIFS(VENTAS!$O:$O,VENTAS!$AI:$AI,$A$22,VENTAS!$H:$H,$B45,VENTAS!$BE:$BE,"&gt;6")+SUMIFS(VENTAS!$P:$P,VENTAS!$AI:$AI,$A$22,VENTAS!$H:$H,$B45,VENTAS!$BE:$BE,"&gt;6")+SUMIFS(VENTAS!$S:$S,VENTAS!$AI:$AI,$A$22,VENTAS!$H:$H,$B45,VENTAS!$BE:$BE,"&gt;6")+SUMIFS(VENTAS!$V:$V,VENTAS!$AI:$AI,$A$22,VENTAS!$H:$H,$B45,VENTAS!$BE:$BE,"&gt;6")</f>
        <v>0</v>
      </c>
      <c r="M45" s="265"/>
    </row>
    <row r="46" spans="1:27" s="317" customFormat="1" ht="13.5" hidden="1" outlineLevel="1" thickBot="1" x14ac:dyDescent="0.35">
      <c r="A46" s="317" t="s">
        <v>992</v>
      </c>
      <c r="K46" s="554">
        <f>K38+K42</f>
        <v>0</v>
      </c>
      <c r="L46" s="554">
        <f>L38+L42</f>
        <v>0</v>
      </c>
      <c r="M46" s="554">
        <f>SUM(K46:L46)</f>
        <v>0</v>
      </c>
    </row>
    <row r="47" spans="1:27" ht="13" collapsed="1" x14ac:dyDescent="0.3">
      <c r="A47" s="263" t="s">
        <v>1574</v>
      </c>
      <c r="H47" s="439"/>
      <c r="J47" s="463">
        <v>0.02</v>
      </c>
      <c r="K47" s="438">
        <f>K46*J47</f>
        <v>0</v>
      </c>
      <c r="L47" s="438">
        <f>L46*J47</f>
        <v>0</v>
      </c>
      <c r="M47" s="437">
        <f>SUM(K47:L47)</f>
        <v>0</v>
      </c>
      <c r="T47" s="317"/>
      <c r="U47" s="317"/>
      <c r="V47" s="317"/>
      <c r="W47" s="317"/>
      <c r="X47" s="317"/>
      <c r="Y47" s="317"/>
      <c r="Z47" s="317"/>
      <c r="AA47" s="317"/>
    </row>
    <row r="48" spans="1:27" ht="13" x14ac:dyDescent="0.3">
      <c r="A48" s="263" t="s">
        <v>1575</v>
      </c>
      <c r="K48" s="441">
        <f>-SUMIFS(VENTAS!$AS:$AS,VENTAS!$AI:$AI,$A$37,VENTAS!$BE:$BE,"&lt;7")</f>
        <v>0</v>
      </c>
      <c r="L48" s="441">
        <f>-SUMIFS(VENTAS!$AS:$AS,VENTAS!$AI:$AI,$A$37,VENTAS!$BE:$BE,"&gt;6")</f>
        <v>0</v>
      </c>
      <c r="M48" s="437">
        <f>SUM(K48:L48)</f>
        <v>0</v>
      </c>
    </row>
    <row r="49" spans="1:24" ht="13.5" thickBot="1" x14ac:dyDescent="0.35">
      <c r="A49" s="317" t="s">
        <v>1547</v>
      </c>
      <c r="K49" s="554">
        <f>SUM(K47:K48)</f>
        <v>0</v>
      </c>
      <c r="L49" s="554">
        <f>SUM(L47:L48)</f>
        <v>0</v>
      </c>
      <c r="M49" s="554">
        <f>SUM(M47:M48)</f>
        <v>0</v>
      </c>
    </row>
    <row r="50" spans="1:24" s="548" customFormat="1" ht="13.5" thickTop="1" thickBot="1" x14ac:dyDescent="0.3"/>
    <row r="52" spans="1:24" ht="13" x14ac:dyDescent="0.3">
      <c r="J52" s="436"/>
      <c r="K52" s="436" t="s">
        <v>2067</v>
      </c>
      <c r="L52" s="436" t="s">
        <v>1548</v>
      </c>
      <c r="M52" s="436" t="s">
        <v>1561</v>
      </c>
      <c r="N52" s="436"/>
      <c r="O52" s="436"/>
      <c r="P52" s="436"/>
      <c r="Q52" s="436"/>
      <c r="R52" s="436"/>
      <c r="S52" s="436"/>
      <c r="U52" s="317" t="s">
        <v>1557</v>
      </c>
    </row>
    <row r="53" spans="1:24" ht="13" x14ac:dyDescent="0.25">
      <c r="A53" s="925" t="str">
        <f>A22</f>
        <v>RIMPE</v>
      </c>
      <c r="B53" s="925"/>
      <c r="C53" s="925"/>
      <c r="D53" s="925"/>
      <c r="E53" s="925"/>
      <c r="F53" s="925"/>
      <c r="G53" s="925"/>
      <c r="H53" s="925"/>
      <c r="I53" s="925"/>
      <c r="J53" s="436"/>
      <c r="K53" s="441">
        <f>M31</f>
        <v>0</v>
      </c>
      <c r="L53" s="441">
        <f>SUMIF(COMPRAS!AR:AR,A53,COMPRAS!U:U)+SUMIF(COMPRAS!AR:AR,A53,COMPRAS!W:W)+SUMIF(COMPRAS!AR:AR,A53,COMPRAS!X:X)+SUMIF(COMPRAS!AR:AR,A53,COMPRAS!AA:AA)+SUMIF(COMPRAS!AR:AR,A53,COMPRAS!AD:AD)</f>
        <v>0</v>
      </c>
      <c r="M53" s="438">
        <f>ABS(M34)</f>
        <v>0</v>
      </c>
      <c r="N53" s="436"/>
      <c r="O53" s="436"/>
      <c r="P53" s="436"/>
      <c r="Q53" s="436"/>
      <c r="R53" s="438"/>
      <c r="S53" s="438"/>
      <c r="T53" s="436"/>
      <c r="U53" s="448" t="s">
        <v>1558</v>
      </c>
      <c r="V53" s="444" t="s">
        <v>1011</v>
      </c>
      <c r="W53" s="444" t="s">
        <v>1276</v>
      </c>
      <c r="X53" s="449" t="s">
        <v>1562</v>
      </c>
    </row>
    <row r="54" spans="1:24" ht="13" thickBot="1" x14ac:dyDescent="0.3">
      <c r="A54" s="943" t="str">
        <f>A37</f>
        <v>MICROEMPRESA Y ACTIVIDADES  INCLUYENTES</v>
      </c>
      <c r="B54" s="943"/>
      <c r="C54" s="943"/>
      <c r="D54" s="943"/>
      <c r="E54" s="943"/>
      <c r="F54" s="943"/>
      <c r="G54" s="943"/>
      <c r="H54" s="943"/>
      <c r="I54" s="943"/>
      <c r="J54" s="440"/>
      <c r="K54" s="440">
        <f>M46</f>
        <v>0</v>
      </c>
      <c r="L54" s="440">
        <f>SUMIF(COMPRAS!AR:AR,A54,COMPRAS!U:U)+SUMIF(COMPRAS!AR:AR,A54,COMPRAS!W:W)+SUMIF(COMPRAS!AR:AR,A54,COMPRAS!X:X)+SUMIF(COMPRAS!AR:AR,A54,COMPRAS!AA:AA)+SUMIF(COMPRAS!AR:AR,A54,COMPRAS!AD:AD)</f>
        <v>0</v>
      </c>
      <c r="M54" s="440">
        <f>ABS(M48)</f>
        <v>0</v>
      </c>
      <c r="N54" s="438"/>
      <c r="O54" s="438"/>
      <c r="P54" s="438"/>
      <c r="Q54" s="438"/>
      <c r="R54" s="438"/>
      <c r="S54" s="438"/>
      <c r="T54" s="438"/>
      <c r="U54" s="443" t="s">
        <v>1270</v>
      </c>
      <c r="V54" s="445">
        <f>SUMIF(GASTOSP!D:D,V$53,GASTOSP!O:O)</f>
        <v>0</v>
      </c>
      <c r="W54" s="445">
        <f>SUMIF(GASTOSP!D:D,W$53,GASTOSP!O:O)</f>
        <v>0</v>
      </c>
      <c r="X54" s="446">
        <f t="shared" ref="X54:X59" si="20">SUM(V54:W54)</f>
        <v>0</v>
      </c>
    </row>
    <row r="55" spans="1:24" ht="13" thickTop="1" x14ac:dyDescent="0.25">
      <c r="A55" s="925" t="s">
        <v>1550</v>
      </c>
      <c r="B55" s="925"/>
      <c r="C55" s="925"/>
      <c r="D55" s="925"/>
      <c r="E55" s="925"/>
      <c r="F55" s="925"/>
      <c r="G55" s="925"/>
      <c r="H55" s="925"/>
      <c r="I55" s="925"/>
      <c r="J55" s="318"/>
      <c r="K55" s="318">
        <f>G18-K54</f>
        <v>0</v>
      </c>
      <c r="L55" s="318">
        <f>Q18+R18-L54</f>
        <v>0</v>
      </c>
      <c r="M55" s="318">
        <f>M18-M53-M54</f>
        <v>0</v>
      </c>
      <c r="N55" s="438"/>
      <c r="O55" s="438"/>
      <c r="P55" s="438"/>
      <c r="Q55" s="438"/>
      <c r="T55" s="438"/>
      <c r="U55" s="443" t="s">
        <v>1271</v>
      </c>
      <c r="V55" s="445">
        <f>SUMIF(GASTOSP!D:D,V$53,GASTOSP!P:P)</f>
        <v>0</v>
      </c>
      <c r="W55" s="445">
        <f>SUMIF(GASTOSP!D:D,W$53,GASTOSP!P:P)</f>
        <v>0</v>
      </c>
      <c r="X55" s="446">
        <f t="shared" si="20"/>
        <v>0</v>
      </c>
    </row>
    <row r="56" spans="1:24" x14ac:dyDescent="0.25">
      <c r="A56" s="925" t="s">
        <v>1298</v>
      </c>
      <c r="B56" s="925"/>
      <c r="C56" s="925"/>
      <c r="D56" s="925"/>
      <c r="E56" s="925"/>
      <c r="F56" s="925"/>
      <c r="G56" s="925"/>
      <c r="H56" s="925"/>
      <c r="I56" s="925"/>
      <c r="J56" s="318"/>
      <c r="K56" s="450">
        <v>0</v>
      </c>
      <c r="L56" s="450">
        <v>0</v>
      </c>
      <c r="M56" s="451">
        <v>0</v>
      </c>
      <c r="U56" s="443" t="s">
        <v>1272</v>
      </c>
      <c r="V56" s="445">
        <f>SUMIF(GASTOSP!D:D,V$53,GASTOSP!Q:Q)</f>
        <v>0</v>
      </c>
      <c r="W56" s="445">
        <f>SUMIF(GASTOSP!D:D,W$53,GASTOSP!Q:Q)</f>
        <v>0</v>
      </c>
      <c r="X56" s="446">
        <f t="shared" si="20"/>
        <v>0</v>
      </c>
    </row>
    <row r="57" spans="1:24" x14ac:dyDescent="0.25">
      <c r="A57" s="925" t="s">
        <v>976</v>
      </c>
      <c r="B57" s="925"/>
      <c r="C57" s="925"/>
      <c r="D57" s="925"/>
      <c r="E57" s="925"/>
      <c r="F57" s="925"/>
      <c r="G57" s="925"/>
      <c r="H57" s="925"/>
      <c r="I57" s="925"/>
      <c r="J57" s="318"/>
      <c r="K57" s="450">
        <v>0</v>
      </c>
      <c r="L57" s="450">
        <v>0</v>
      </c>
      <c r="M57" s="451">
        <v>0</v>
      </c>
      <c r="U57" s="443" t="s">
        <v>1273</v>
      </c>
      <c r="V57" s="445">
        <f>SUMIF(GASTOSP!D:D,V$53,GASTOSP!R:R)</f>
        <v>0</v>
      </c>
      <c r="W57" s="445">
        <f>SUMIF(GASTOSP!D:D,W$53,GASTOSP!R:R)</f>
        <v>0</v>
      </c>
      <c r="X57" s="446">
        <f t="shared" si="20"/>
        <v>0</v>
      </c>
    </row>
    <row r="58" spans="1:24" x14ac:dyDescent="0.25">
      <c r="A58" s="925" t="s">
        <v>1305</v>
      </c>
      <c r="B58" s="925"/>
      <c r="C58" s="925"/>
      <c r="D58" s="925"/>
      <c r="E58" s="925"/>
      <c r="F58" s="925"/>
      <c r="G58" s="925"/>
      <c r="H58" s="925"/>
      <c r="I58" s="925"/>
      <c r="J58" s="318"/>
      <c r="K58" s="450">
        <v>0</v>
      </c>
      <c r="L58" s="450">
        <v>0</v>
      </c>
      <c r="M58" s="451">
        <v>0</v>
      </c>
      <c r="R58" s="441"/>
      <c r="S58" s="441"/>
      <c r="U58" s="443" t="s">
        <v>1274</v>
      </c>
      <c r="V58" s="445">
        <f>SUMIF(GASTOSP!D:D,V$53,GASTOSP!S:S)</f>
        <v>0</v>
      </c>
      <c r="W58" s="445">
        <f>SUMIF(GASTOSP!D:D,W$53,GASTOSP!S:S)</f>
        <v>0</v>
      </c>
      <c r="X58" s="446">
        <f t="shared" si="20"/>
        <v>0</v>
      </c>
    </row>
    <row r="59" spans="1:24" ht="13.5" thickBot="1" x14ac:dyDescent="0.35">
      <c r="A59" s="943" t="s">
        <v>1559</v>
      </c>
      <c r="B59" s="943"/>
      <c r="C59" s="943"/>
      <c r="D59" s="943"/>
      <c r="E59" s="943"/>
      <c r="F59" s="943"/>
      <c r="G59" s="943"/>
      <c r="H59" s="943"/>
      <c r="I59" s="943"/>
      <c r="J59" s="440"/>
      <c r="K59" s="452">
        <v>0</v>
      </c>
      <c r="L59" s="452"/>
      <c r="M59" s="452"/>
      <c r="N59" s="441"/>
      <c r="O59" s="441"/>
      <c r="P59" s="441"/>
      <c r="Q59" s="441"/>
      <c r="R59" s="437"/>
      <c r="S59" s="437"/>
      <c r="T59" s="441"/>
      <c r="U59" s="443" t="s">
        <v>1540</v>
      </c>
      <c r="V59" s="445">
        <f>SUMIF(GASTOSP!D:D,V$53,GASTOSP!T:T)</f>
        <v>0</v>
      </c>
      <c r="W59" s="445">
        <f>SUMIF(GASTOSP!D:D,W$53,GASTOSP!T:T)</f>
        <v>0</v>
      </c>
      <c r="X59" s="446">
        <f t="shared" si="20"/>
        <v>0</v>
      </c>
    </row>
    <row r="60" spans="1:24" ht="14" thickTop="1" thickBot="1" x14ac:dyDescent="0.35">
      <c r="I60" s="442" t="s">
        <v>2068</v>
      </c>
      <c r="J60" s="437"/>
      <c r="K60" s="437">
        <f>SUM(K55:K59)</f>
        <v>0</v>
      </c>
      <c r="L60" s="437">
        <f>SUM(L55:L59)</f>
        <v>0</v>
      </c>
      <c r="M60" s="437">
        <f>SUM(M55:M59)</f>
        <v>0</v>
      </c>
      <c r="N60" s="437"/>
      <c r="O60" s="437"/>
      <c r="P60" s="437"/>
      <c r="Q60" s="437"/>
      <c r="T60" s="437"/>
      <c r="U60" s="448" t="s">
        <v>1326</v>
      </c>
      <c r="V60" s="446">
        <f>GASTOSP!O5</f>
        <v>0</v>
      </c>
      <c r="W60" s="446">
        <f>SUM(W54:W59)</f>
        <v>0</v>
      </c>
      <c r="X60" s="446">
        <f>SUM(X54:X59)</f>
        <v>0</v>
      </c>
    </row>
    <row r="61" spans="1:24" ht="13.5" thickBot="1" x14ac:dyDescent="0.35">
      <c r="I61" s="442"/>
      <c r="J61" s="442"/>
      <c r="K61" s="447">
        <f>K60-L60</f>
        <v>0</v>
      </c>
      <c r="L61" s="437"/>
    </row>
    <row r="62" spans="1:24" ht="13" x14ac:dyDescent="0.3">
      <c r="A62" s="942" t="s">
        <v>1549</v>
      </c>
      <c r="B62" s="942"/>
      <c r="C62" s="942"/>
      <c r="D62" s="942"/>
      <c r="E62" s="942"/>
      <c r="F62" s="942"/>
      <c r="G62" s="942"/>
      <c r="H62" s="942"/>
      <c r="I62" s="942"/>
      <c r="J62" s="317"/>
    </row>
    <row r="63" spans="1:24" x14ac:dyDescent="0.25">
      <c r="A63" s="941" t="s">
        <v>976</v>
      </c>
      <c r="B63" s="941"/>
      <c r="C63" s="941"/>
      <c r="D63" s="941"/>
      <c r="E63" s="941"/>
      <c r="F63" s="941"/>
      <c r="G63" s="941"/>
      <c r="H63" s="941"/>
      <c r="I63" s="941"/>
      <c r="J63" s="460"/>
      <c r="K63" s="453">
        <v>0</v>
      </c>
      <c r="L63" s="318"/>
    </row>
    <row r="64" spans="1:24" x14ac:dyDescent="0.25">
      <c r="A64" s="941" t="s">
        <v>1305</v>
      </c>
      <c r="B64" s="941"/>
      <c r="C64" s="941"/>
      <c r="D64" s="941"/>
      <c r="E64" s="941"/>
      <c r="F64" s="941"/>
      <c r="G64" s="941"/>
      <c r="H64" s="941"/>
      <c r="I64" s="941"/>
      <c r="J64" s="460"/>
      <c r="K64" s="456">
        <f>SUM(J65:J69)</f>
        <v>0</v>
      </c>
      <c r="L64" s="318"/>
    </row>
    <row r="65" spans="1:12" x14ac:dyDescent="0.25">
      <c r="B65" s="925" t="s">
        <v>1552</v>
      </c>
      <c r="C65" s="925"/>
      <c r="D65" s="925"/>
      <c r="E65" s="925"/>
      <c r="F65" s="925"/>
      <c r="G65" s="925"/>
      <c r="J65" s="454">
        <v>0</v>
      </c>
      <c r="K65" s="441"/>
      <c r="L65" s="318"/>
    </row>
    <row r="66" spans="1:12" x14ac:dyDescent="0.25">
      <c r="B66" s="925" t="s">
        <v>1553</v>
      </c>
      <c r="C66" s="925"/>
      <c r="D66" s="925"/>
      <c r="E66" s="925"/>
      <c r="F66" s="925"/>
      <c r="G66" s="925"/>
      <c r="J66" s="454">
        <v>0</v>
      </c>
      <c r="K66" s="441"/>
      <c r="L66" s="318"/>
    </row>
    <row r="67" spans="1:12" x14ac:dyDescent="0.25">
      <c r="B67" s="925" t="s">
        <v>1554</v>
      </c>
      <c r="C67" s="925"/>
      <c r="D67" s="925"/>
      <c r="E67" s="925"/>
      <c r="F67" s="925"/>
      <c r="G67" s="925"/>
      <c r="J67" s="454">
        <v>0</v>
      </c>
      <c r="K67" s="441"/>
      <c r="L67" s="318"/>
    </row>
    <row r="68" spans="1:12" x14ac:dyDescent="0.25">
      <c r="B68" s="925" t="s">
        <v>1555</v>
      </c>
      <c r="C68" s="925"/>
      <c r="D68" s="925"/>
      <c r="E68" s="925"/>
      <c r="F68" s="925"/>
      <c r="G68" s="925"/>
      <c r="J68" s="454">
        <v>0</v>
      </c>
      <c r="K68" s="441"/>
      <c r="L68" s="318"/>
    </row>
    <row r="69" spans="1:12" x14ac:dyDescent="0.25">
      <c r="B69" s="925" t="s">
        <v>1576</v>
      </c>
      <c r="C69" s="925"/>
      <c r="D69" s="925"/>
      <c r="E69" s="925"/>
      <c r="F69" s="925"/>
      <c r="G69" s="925"/>
      <c r="J69" s="454">
        <v>0</v>
      </c>
      <c r="K69" s="441"/>
      <c r="L69" s="318"/>
    </row>
    <row r="70" spans="1:12" x14ac:dyDescent="0.25">
      <c r="A70" s="941" t="s">
        <v>1551</v>
      </c>
      <c r="B70" s="941"/>
      <c r="C70" s="941"/>
      <c r="D70" s="941"/>
      <c r="E70" s="941"/>
      <c r="F70" s="941"/>
      <c r="G70" s="941"/>
      <c r="H70" s="941"/>
      <c r="I70" s="941"/>
      <c r="J70" s="460"/>
      <c r="K70" s="456">
        <f>SUM(J71:J73)</f>
        <v>0</v>
      </c>
      <c r="L70" s="318"/>
    </row>
    <row r="71" spans="1:12" x14ac:dyDescent="0.25">
      <c r="B71" s="263" t="s">
        <v>1560</v>
      </c>
      <c r="J71" s="454">
        <v>0</v>
      </c>
      <c r="K71" s="441"/>
      <c r="L71" s="318"/>
    </row>
    <row r="72" spans="1:12" x14ac:dyDescent="0.25">
      <c r="B72" s="263" t="s">
        <v>1577</v>
      </c>
      <c r="J72" s="454">
        <v>0</v>
      </c>
      <c r="K72" s="441"/>
      <c r="L72" s="318"/>
    </row>
    <row r="73" spans="1:12" ht="13" thickBot="1" x14ac:dyDescent="0.3">
      <c r="B73" s="263" t="s">
        <v>1578</v>
      </c>
      <c r="J73" s="455"/>
      <c r="K73" s="440"/>
      <c r="L73" s="440"/>
    </row>
    <row r="74" spans="1:12" ht="13.5" thickTop="1" x14ac:dyDescent="0.3">
      <c r="J74" s="442" t="s">
        <v>1556</v>
      </c>
      <c r="K74" s="437">
        <f>SUM(K63:K73)</f>
        <v>0</v>
      </c>
      <c r="L74" s="437">
        <f>SUM(L63:L73)</f>
        <v>0</v>
      </c>
    </row>
    <row r="367" spans="44:46" x14ac:dyDescent="0.25">
      <c r="AR367" s="318"/>
      <c r="AS367" s="318"/>
      <c r="AT367" s="318"/>
    </row>
    <row r="368" spans="44:46" x14ac:dyDescent="0.25">
      <c r="AR368" s="318"/>
      <c r="AS368" s="318"/>
      <c r="AT368" s="318"/>
    </row>
    <row r="369" spans="44:46" x14ac:dyDescent="0.25">
      <c r="AR369" s="318"/>
      <c r="AS369" s="318"/>
      <c r="AT369" s="318"/>
    </row>
    <row r="370" spans="44:46" x14ac:dyDescent="0.25">
      <c r="AR370" s="318"/>
      <c r="AS370" s="318"/>
      <c r="AT370" s="318"/>
    </row>
    <row r="371" spans="44:46" x14ac:dyDescent="0.25">
      <c r="AR371" s="318"/>
      <c r="AS371" s="318"/>
      <c r="AT371" s="318"/>
    </row>
    <row r="372" spans="44:46" x14ac:dyDescent="0.25">
      <c r="AR372" s="318"/>
      <c r="AS372" s="318"/>
      <c r="AT372" s="318"/>
    </row>
    <row r="373" spans="44:46" x14ac:dyDescent="0.25">
      <c r="AR373" s="318"/>
      <c r="AS373" s="318"/>
      <c r="AT373" s="318"/>
    </row>
    <row r="374" spans="44:46" x14ac:dyDescent="0.25">
      <c r="AR374" s="318"/>
      <c r="AS374" s="318"/>
      <c r="AT374" s="318"/>
    </row>
    <row r="375" spans="44:46" x14ac:dyDescent="0.25">
      <c r="AR375" s="318"/>
      <c r="AS375" s="318"/>
      <c r="AT375" s="318"/>
    </row>
    <row r="376" spans="44:46" x14ac:dyDescent="0.25">
      <c r="AR376" s="318"/>
      <c r="AS376" s="318"/>
      <c r="AT376" s="318"/>
    </row>
    <row r="377" spans="44:46" x14ac:dyDescent="0.25">
      <c r="AR377" s="318"/>
      <c r="AS377" s="318"/>
      <c r="AT377" s="318"/>
    </row>
    <row r="378" spans="44:46" x14ac:dyDescent="0.25">
      <c r="AR378" s="318"/>
      <c r="AS378" s="318"/>
      <c r="AT378" s="318"/>
    </row>
    <row r="379" spans="44:46" x14ac:dyDescent="0.25">
      <c r="AR379" s="318"/>
      <c r="AS379" s="318"/>
      <c r="AT379" s="318"/>
    </row>
    <row r="380" spans="44:46" x14ac:dyDescent="0.25">
      <c r="AR380" s="318"/>
      <c r="AS380" s="318"/>
      <c r="AT380" s="318"/>
    </row>
    <row r="381" spans="44:46" x14ac:dyDescent="0.25">
      <c r="AR381" s="318"/>
      <c r="AS381" s="318"/>
      <c r="AT381" s="318"/>
    </row>
    <row r="382" spans="44:46" x14ac:dyDescent="0.25">
      <c r="AR382" s="318"/>
      <c r="AS382" s="318"/>
      <c r="AT382" s="318"/>
    </row>
    <row r="383" spans="44:46" x14ac:dyDescent="0.25">
      <c r="AR383" s="318"/>
      <c r="AS383" s="318"/>
      <c r="AT383" s="318"/>
    </row>
    <row r="384" spans="44:46" x14ac:dyDescent="0.25">
      <c r="AR384" s="318"/>
      <c r="AS384" s="318"/>
      <c r="AT384" s="318"/>
    </row>
    <row r="385" spans="44:46" x14ac:dyDescent="0.25">
      <c r="AR385" s="318"/>
      <c r="AS385" s="318"/>
      <c r="AT385" s="318"/>
    </row>
    <row r="386" spans="44:46" x14ac:dyDescent="0.25">
      <c r="AR386" s="318"/>
      <c r="AS386" s="318"/>
      <c r="AT386" s="318"/>
    </row>
    <row r="387" spans="44:46" x14ac:dyDescent="0.25">
      <c r="AR387" s="318"/>
      <c r="AS387" s="318"/>
      <c r="AT387" s="318"/>
    </row>
    <row r="388" spans="44:46" x14ac:dyDescent="0.25">
      <c r="AR388" s="318"/>
      <c r="AS388" s="318"/>
      <c r="AT388" s="318"/>
    </row>
    <row r="389" spans="44:46" x14ac:dyDescent="0.25">
      <c r="AR389" s="318"/>
      <c r="AS389" s="318"/>
      <c r="AT389" s="318"/>
    </row>
    <row r="390" spans="44:46" x14ac:dyDescent="0.25">
      <c r="AR390" s="318"/>
      <c r="AS390" s="318"/>
      <c r="AT390" s="318"/>
    </row>
    <row r="391" spans="44:46" x14ac:dyDescent="0.25">
      <c r="AR391" s="318"/>
      <c r="AS391" s="318"/>
      <c r="AT391" s="318"/>
    </row>
    <row r="392" spans="44:46" x14ac:dyDescent="0.25">
      <c r="AR392" s="318"/>
      <c r="AS392" s="318"/>
      <c r="AT392" s="318"/>
    </row>
    <row r="393" spans="44:46" x14ac:dyDescent="0.25">
      <c r="AR393" s="318"/>
      <c r="AS393" s="318"/>
      <c r="AT393" s="318"/>
    </row>
    <row r="394" spans="44:46" x14ac:dyDescent="0.25">
      <c r="AR394" s="318"/>
      <c r="AS394" s="318"/>
      <c r="AT394" s="318"/>
    </row>
    <row r="395" spans="44:46" x14ac:dyDescent="0.25">
      <c r="AR395" s="318"/>
      <c r="AS395" s="318"/>
      <c r="AT395" s="318"/>
    </row>
    <row r="396" spans="44:46" x14ac:dyDescent="0.25">
      <c r="AR396" s="318"/>
      <c r="AS396" s="318"/>
      <c r="AT396" s="318"/>
    </row>
    <row r="397" spans="44:46" x14ac:dyDescent="0.25">
      <c r="AR397" s="318"/>
      <c r="AS397" s="318"/>
      <c r="AT397" s="318"/>
    </row>
    <row r="398" spans="44:46" x14ac:dyDescent="0.25">
      <c r="AR398" s="318"/>
      <c r="AS398" s="318"/>
      <c r="AT398" s="318"/>
    </row>
    <row r="399" spans="44:46" x14ac:dyDescent="0.25">
      <c r="AR399" s="318"/>
      <c r="AS399" s="318"/>
      <c r="AT399" s="318"/>
    </row>
    <row r="400" spans="44:46" x14ac:dyDescent="0.25">
      <c r="AR400" s="318"/>
      <c r="AS400" s="318"/>
      <c r="AT400" s="318"/>
    </row>
    <row r="401" spans="44:46" x14ac:dyDescent="0.25">
      <c r="AR401" s="318"/>
      <c r="AS401" s="318"/>
      <c r="AT401" s="318"/>
    </row>
    <row r="402" spans="44:46" x14ac:dyDescent="0.25">
      <c r="AR402" s="318"/>
      <c r="AS402" s="318"/>
      <c r="AT402" s="318"/>
    </row>
    <row r="403" spans="44:46" x14ac:dyDescent="0.25">
      <c r="AR403" s="318"/>
      <c r="AS403" s="318"/>
      <c r="AT403" s="318"/>
    </row>
    <row r="404" spans="44:46" x14ac:dyDescent="0.25">
      <c r="AR404" s="318"/>
      <c r="AS404" s="318"/>
      <c r="AT404" s="318"/>
    </row>
    <row r="405" spans="44:46" x14ac:dyDescent="0.25">
      <c r="AR405" s="318"/>
      <c r="AS405" s="318"/>
      <c r="AT405" s="318"/>
    </row>
    <row r="406" spans="44:46" x14ac:dyDescent="0.25">
      <c r="AR406" s="318"/>
      <c r="AS406" s="318"/>
      <c r="AT406" s="318"/>
    </row>
    <row r="407" spans="44:46" x14ac:dyDescent="0.25">
      <c r="AR407" s="318"/>
      <c r="AS407" s="318"/>
      <c r="AT407" s="318"/>
    </row>
    <row r="408" spans="44:46" x14ac:dyDescent="0.25">
      <c r="AR408" s="318"/>
      <c r="AS408" s="318"/>
      <c r="AT408" s="318"/>
    </row>
    <row r="409" spans="44:46" x14ac:dyDescent="0.25">
      <c r="AR409" s="318"/>
      <c r="AS409" s="318"/>
      <c r="AT409" s="318"/>
    </row>
    <row r="410" spans="44:46" x14ac:dyDescent="0.25">
      <c r="AR410" s="318"/>
      <c r="AS410" s="318"/>
      <c r="AT410" s="318"/>
    </row>
    <row r="411" spans="44:46" x14ac:dyDescent="0.25">
      <c r="AR411" s="318"/>
      <c r="AS411" s="318"/>
      <c r="AT411" s="318"/>
    </row>
    <row r="412" spans="44:46" x14ac:dyDescent="0.25">
      <c r="AR412" s="318"/>
      <c r="AS412" s="318"/>
      <c r="AT412" s="318"/>
    </row>
    <row r="413" spans="44:46" x14ac:dyDescent="0.25">
      <c r="AR413" s="318"/>
      <c r="AS413" s="318"/>
      <c r="AT413" s="318"/>
    </row>
    <row r="414" spans="44:46" x14ac:dyDescent="0.25">
      <c r="AR414" s="318"/>
      <c r="AS414" s="318"/>
      <c r="AT414" s="318"/>
    </row>
  </sheetData>
  <mergeCells count="48">
    <mergeCell ref="A70:I70"/>
    <mergeCell ref="A62:I62"/>
    <mergeCell ref="A54:I54"/>
    <mergeCell ref="A55:I55"/>
    <mergeCell ref="A56:I56"/>
    <mergeCell ref="A57:I57"/>
    <mergeCell ref="A58:I58"/>
    <mergeCell ref="A59:I59"/>
    <mergeCell ref="B68:G68"/>
    <mergeCell ref="B65:G65"/>
    <mergeCell ref="B66:G66"/>
    <mergeCell ref="B67:G67"/>
    <mergeCell ref="B69:G69"/>
    <mergeCell ref="A63:I63"/>
    <mergeCell ref="A64:I64"/>
    <mergeCell ref="AG2:AG3"/>
    <mergeCell ref="X2:X3"/>
    <mergeCell ref="E2:K2"/>
    <mergeCell ref="L2:L3"/>
    <mergeCell ref="M2:M3"/>
    <mergeCell ref="O2:V2"/>
    <mergeCell ref="W2:W3"/>
    <mergeCell ref="AA2:AA3"/>
    <mergeCell ref="AB2:AB3"/>
    <mergeCell ref="AC2:AC3"/>
    <mergeCell ref="AD2:AD3"/>
    <mergeCell ref="AE2:AF2"/>
    <mergeCell ref="Y2:Y3"/>
    <mergeCell ref="AO1:AP1"/>
    <mergeCell ref="AH2:AI2"/>
    <mergeCell ref="AK2:AK3"/>
    <mergeCell ref="AL2:AL3"/>
    <mergeCell ref="AM2:AM3"/>
    <mergeCell ref="AO2:AQ2"/>
    <mergeCell ref="B21:G21"/>
    <mergeCell ref="B45:G45"/>
    <mergeCell ref="A53:I53"/>
    <mergeCell ref="B39:G39"/>
    <mergeCell ref="B40:G40"/>
    <mergeCell ref="B41:G41"/>
    <mergeCell ref="B43:G43"/>
    <mergeCell ref="B44:G44"/>
    <mergeCell ref="B29:G29"/>
    <mergeCell ref="B30:G30"/>
    <mergeCell ref="B24:G24"/>
    <mergeCell ref="B25:G25"/>
    <mergeCell ref="B26:G26"/>
    <mergeCell ref="B28:G28"/>
  </mergeCells>
  <conditionalFormatting sqref="C53:I53">
    <cfRule type="cellIs" dxfId="16" priority="6" stopIfTrue="1" operator="lessThan">
      <formula>0</formula>
    </cfRule>
  </conditionalFormatting>
  <conditionalFormatting sqref="D5:Y19 C18:C20 D20:F20 H20:Y21 B21">
    <cfRule type="cellIs" dxfId="15" priority="11" stopIfTrue="1" operator="lessThan">
      <formula>0</formula>
    </cfRule>
  </conditionalFormatting>
  <conditionalFormatting sqref="I60">
    <cfRule type="cellIs" dxfId="14" priority="1" stopIfTrue="1" operator="lessThan">
      <formula>0</formula>
    </cfRule>
  </conditionalFormatting>
  <conditionalFormatting sqref="K52:M54">
    <cfRule type="cellIs" dxfId="13" priority="2" stopIfTrue="1" operator="lessThan">
      <formula>0</formula>
    </cfRule>
  </conditionalFormatting>
  <conditionalFormatting sqref="Z19:Z21 AB19:AB21">
    <cfRule type="cellIs" dxfId="12" priority="18" stopIfTrue="1" operator="lessThan">
      <formula>0</formula>
    </cfRule>
  </conditionalFormatting>
  <conditionalFormatting sqref="Z5:AQ18">
    <cfRule type="cellIs" dxfId="11" priority="7" stopIfTrue="1" operator="lessThan">
      <formula>0</formula>
    </cfRule>
  </conditionalFormatting>
  <dataValidations count="6">
    <dataValidation type="list" allowBlank="1" showInputMessage="1" showErrorMessage="1" sqref="C5:C16" xr:uid="{FE28F357-654C-4A67-BD17-53A7B772F82F}">
      <formula1>"1,2,3,4,5,6,7,8,9,10,11,12,I-Semestre,II-Semestre"</formula1>
    </dataValidation>
    <dataValidation type="list" allowBlank="1" showInputMessage="1" showErrorMessage="1" sqref="B39:H45 B24:H30" xr:uid="{80921E02-0D97-458C-8C13-84D606961B66}">
      <formula1>ComprobantesVEN</formula1>
    </dataValidation>
    <dataValidation type="list" allowBlank="1" showInputMessage="1" showErrorMessage="1" sqref="V53:W53" xr:uid="{3BA2E67B-C962-4800-9939-B0AB49BA9A2E}">
      <formula1>"F-Fisico,E-Electronico"</formula1>
    </dataValidation>
    <dataValidation type="list" allowBlank="1" showInputMessage="1" showErrorMessage="1" sqref="U54:U59" xr:uid="{0F9E219A-7CF4-4607-9C80-D04B8FBBA9D6}">
      <formula1>"6-TURISMO,5-ALIMENTACION,4-EDUCACION,3-SALUD,2-VESTIMENTA,1-VIVIENDA"</formula1>
    </dataValidation>
    <dataValidation type="list" operator="lessThanOrEqual" allowBlank="1" showInputMessage="1" showErrorMessage="1" errorTitle="FactelExcel" error="Debe ingresar un valor correcto para la Direccion Matriz" sqref="B21" xr:uid="{2DC77498-4212-4E32-8DAC-AB09B9FD59A0}">
      <formula1>"GENERAL,RIMPE EMPRENDEDOR,RIMPE NEGOCIO POPULAR,MICROEMPRESA"</formula1>
    </dataValidation>
    <dataValidation type="list" allowBlank="1" showInputMessage="1" showErrorMessage="1" errorTitle="SRI Anexos" error="Debe ingresar un valor correcto para esta celda" sqref="B21" xr:uid="{F2CA48B2-9C17-45E7-961F-492835642305}">
      <formula1>"GENERAL,RIMPE EMPRENDEDOR,RIMPE NEGOCIO POPULAR,MICROEMPRESA"</formula1>
    </dataValidation>
  </dataValidations>
  <pageMargins left="0.19685039370078741" right="0.19685039370078741" top="0.62992125984251968" bottom="0.98425196850393704" header="0" footer="0"/>
  <pageSetup paperSize="9" scale="41"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Hoja6">
    <pageSetUpPr fitToPage="1"/>
  </sheetPr>
  <dimension ref="A1:AK353"/>
  <sheetViews>
    <sheetView showGridLines="0" zoomScale="72" zoomScaleNormal="72" workbookViewId="0"/>
  </sheetViews>
  <sheetFormatPr baseColWidth="10" defaultColWidth="4.7265625" defaultRowHeight="21" customHeight="1" outlineLevelRow="2" x14ac:dyDescent="0.35"/>
  <cols>
    <col min="1" max="1" width="6" style="3" customWidth="1"/>
    <col min="2" max="6" width="4.7265625" style="3" customWidth="1"/>
    <col min="7" max="7" width="5.453125" style="3" customWidth="1"/>
    <col min="8" max="9" width="4.7265625" style="3" customWidth="1"/>
    <col min="10" max="10" width="6.453125" style="3" customWidth="1"/>
    <col min="11" max="11" width="6" style="3" customWidth="1"/>
    <col min="12" max="14" width="4.7265625" style="3" customWidth="1"/>
    <col min="15" max="16" width="5.26953125" style="3" customWidth="1"/>
    <col min="17" max="17" width="7" style="3" customWidth="1"/>
    <col min="18" max="18" width="4.7265625" style="3" customWidth="1"/>
    <col min="19" max="20" width="6.81640625" style="3" customWidth="1"/>
    <col min="21" max="21" width="6.81640625" style="20" customWidth="1"/>
    <col min="22" max="22" width="6.81640625" style="3" customWidth="1"/>
    <col min="23" max="24" width="4.7265625" style="3" customWidth="1"/>
    <col min="25" max="25" width="6" style="3" customWidth="1"/>
    <col min="26" max="26" width="4.7265625" style="3" customWidth="1"/>
    <col min="27" max="28" width="5.453125" style="3" customWidth="1"/>
    <col min="29" max="29" width="7.26953125" style="3" customWidth="1"/>
    <col min="30" max="30" width="6.7265625" style="3" customWidth="1"/>
    <col min="31" max="34" width="4.7265625" style="3" customWidth="1"/>
    <col min="35" max="35" width="5.54296875" style="3" customWidth="1"/>
    <col min="36" max="36" width="0.81640625" style="3" customWidth="1"/>
    <col min="37" max="37" width="9.1796875" style="3" bestFit="1" customWidth="1"/>
    <col min="38" max="16384" width="4.7265625" style="3"/>
  </cols>
  <sheetData>
    <row r="1" spans="1:35" s="176" customFormat="1" ht="21" customHeight="1" x14ac:dyDescent="0.35">
      <c r="A1" s="193"/>
      <c r="B1" s="192"/>
      <c r="C1" s="192" t="s">
        <v>753</v>
      </c>
      <c r="D1" s="191" t="s">
        <v>997</v>
      </c>
      <c r="E1" s="190"/>
      <c r="F1" s="189"/>
      <c r="G1" s="188"/>
      <c r="H1" s="187"/>
      <c r="I1" s="1038" t="s">
        <v>996</v>
      </c>
      <c r="J1" s="1039"/>
      <c r="K1" s="1039"/>
      <c r="L1" s="1039"/>
      <c r="M1" s="1039"/>
      <c r="N1" s="1039"/>
      <c r="O1" s="1039"/>
      <c r="P1" s="1039"/>
      <c r="Q1" s="1039"/>
      <c r="R1" s="1039"/>
      <c r="S1" s="1039"/>
      <c r="T1" s="1039"/>
      <c r="U1" s="1039"/>
      <c r="V1" s="1039"/>
      <c r="W1" s="1039"/>
      <c r="X1" s="1039"/>
      <c r="Y1" s="1039"/>
      <c r="Z1" s="1039"/>
      <c r="AA1" s="1039"/>
      <c r="AB1" s="1039"/>
      <c r="AC1" s="1040"/>
      <c r="AD1" s="1034" t="s">
        <v>931</v>
      </c>
      <c r="AE1" s="1035"/>
      <c r="AF1" s="186"/>
      <c r="AG1" s="185"/>
      <c r="AH1" s="185"/>
      <c r="AI1" s="184"/>
    </row>
    <row r="2" spans="1:35" s="176" customFormat="1" ht="25.5" customHeight="1" thickBot="1" x14ac:dyDescent="0.4">
      <c r="A2" s="183"/>
      <c r="B2" s="182"/>
      <c r="C2" s="182" t="s">
        <v>753</v>
      </c>
      <c r="D2" s="182" t="s">
        <v>930</v>
      </c>
      <c r="E2" s="181"/>
      <c r="F2" s="181"/>
      <c r="G2" s="181"/>
      <c r="H2" s="180"/>
      <c r="I2" s="1041"/>
      <c r="J2" s="1042"/>
      <c r="K2" s="1042"/>
      <c r="L2" s="1042"/>
      <c r="M2" s="1042"/>
      <c r="N2" s="1042"/>
      <c r="O2" s="1042"/>
      <c r="P2" s="1042"/>
      <c r="Q2" s="1042"/>
      <c r="R2" s="1042"/>
      <c r="S2" s="1042"/>
      <c r="T2" s="1042"/>
      <c r="U2" s="1042"/>
      <c r="V2" s="1042"/>
      <c r="W2" s="1042"/>
      <c r="X2" s="1042"/>
      <c r="Y2" s="1042"/>
      <c r="Z2" s="1042"/>
      <c r="AA2" s="1042"/>
      <c r="AB2" s="1042"/>
      <c r="AC2" s="1043"/>
      <c r="AD2" s="1036"/>
      <c r="AE2" s="1037"/>
      <c r="AF2" s="179"/>
      <c r="AG2" s="178"/>
      <c r="AH2" s="178"/>
      <c r="AI2" s="177"/>
    </row>
    <row r="3" spans="1:35" ht="3.65" customHeight="1" x14ac:dyDescent="0.35">
      <c r="A3" s="262"/>
      <c r="B3" s="165"/>
      <c r="C3" s="165"/>
      <c r="D3" s="165"/>
      <c r="E3" s="165"/>
      <c r="F3" s="261"/>
      <c r="G3" s="260"/>
      <c r="H3" s="259"/>
      <c r="I3" s="259"/>
      <c r="J3" s="259"/>
      <c r="L3" s="259"/>
      <c r="M3" s="24"/>
      <c r="N3" s="24"/>
      <c r="O3" s="24"/>
      <c r="P3" s="24"/>
      <c r="Q3" s="24"/>
      <c r="R3" s="24"/>
      <c r="S3" s="24"/>
      <c r="T3" s="24"/>
      <c r="U3" s="24"/>
      <c r="V3" s="24"/>
      <c r="W3" s="24"/>
      <c r="X3" s="24"/>
      <c r="Y3" s="24"/>
      <c r="Z3" s="24"/>
      <c r="AA3" s="24"/>
      <c r="AB3" s="24"/>
      <c r="AC3" s="24"/>
      <c r="AD3" s="24"/>
      <c r="AE3" s="24"/>
      <c r="AF3" s="24"/>
      <c r="AG3" s="24"/>
      <c r="AH3" s="24"/>
      <c r="AI3" s="169"/>
    </row>
    <row r="4" spans="1:35" s="168" customFormat="1" ht="21" customHeight="1" x14ac:dyDescent="0.35">
      <c r="A4" s="258" t="s">
        <v>995</v>
      </c>
      <c r="B4" s="174"/>
      <c r="C4" s="174"/>
      <c r="D4" s="174"/>
      <c r="E4" s="174"/>
      <c r="F4" s="174"/>
      <c r="G4" s="173"/>
      <c r="H4" s="172"/>
      <c r="I4" s="172"/>
      <c r="J4" s="172"/>
      <c r="K4" s="171" t="s">
        <v>928</v>
      </c>
      <c r="L4" s="172"/>
      <c r="M4" s="170"/>
      <c r="N4" s="170"/>
      <c r="O4" s="170"/>
      <c r="P4" s="170"/>
      <c r="Q4" s="170"/>
      <c r="R4" s="170"/>
      <c r="S4" s="170"/>
      <c r="T4" s="170"/>
      <c r="U4" s="170"/>
      <c r="V4" s="170"/>
      <c r="W4" s="170"/>
      <c r="X4" s="170"/>
      <c r="AH4" s="170"/>
      <c r="AI4" s="169"/>
    </row>
    <row r="5" spans="1:35" s="168" customFormat="1" ht="21" customHeight="1" x14ac:dyDescent="0.35">
      <c r="A5" s="258"/>
      <c r="B5" s="174"/>
      <c r="C5" s="279">
        <f>IF(C6,C7,0)</f>
        <v>1</v>
      </c>
      <c r="D5" s="279">
        <f t="shared" ref="D5:N5" si="0">IF(D6,D7,0)</f>
        <v>0</v>
      </c>
      <c r="E5" s="279">
        <f t="shared" si="0"/>
        <v>0</v>
      </c>
      <c r="F5" s="279">
        <f t="shared" si="0"/>
        <v>0</v>
      </c>
      <c r="G5" s="279">
        <f t="shared" si="0"/>
        <v>0</v>
      </c>
      <c r="H5" s="279">
        <f t="shared" si="0"/>
        <v>0</v>
      </c>
      <c r="I5" s="279">
        <f t="shared" si="0"/>
        <v>0</v>
      </c>
      <c r="J5" s="279">
        <f t="shared" si="0"/>
        <v>0</v>
      </c>
      <c r="K5" s="279">
        <f t="shared" si="0"/>
        <v>0</v>
      </c>
      <c r="L5" s="279">
        <f t="shared" si="0"/>
        <v>0</v>
      </c>
      <c r="M5" s="279">
        <f t="shared" si="0"/>
        <v>0</v>
      </c>
      <c r="N5" s="279">
        <f t="shared" si="0"/>
        <v>0</v>
      </c>
      <c r="O5" s="170"/>
      <c r="P5" s="170"/>
      <c r="Q5" s="954" t="s">
        <v>1239</v>
      </c>
      <c r="R5" s="954"/>
      <c r="S5" s="954"/>
      <c r="T5" s="954"/>
      <c r="U5" s="955">
        <v>1</v>
      </c>
      <c r="V5" s="956"/>
      <c r="W5" s="457" t="s">
        <v>1535</v>
      </c>
      <c r="X5" s="458"/>
      <c r="Y5" s="459"/>
      <c r="Z5" s="459"/>
      <c r="AA5" s="459"/>
      <c r="AB5" s="459"/>
      <c r="AC5" s="459"/>
      <c r="AH5" s="170"/>
      <c r="AI5" s="169"/>
    </row>
    <row r="6" spans="1:35" ht="3.65" customHeight="1" x14ac:dyDescent="0.35">
      <c r="A6" s="262"/>
      <c r="B6" s="165"/>
      <c r="C6" s="279" t="b">
        <f>IF($U$5=LIQ_IMPUESTOS!$C5,TRUE,FALSE)</f>
        <v>1</v>
      </c>
      <c r="D6" s="279" t="b">
        <f>IF($U$5=LIQ_IMPUESTOS!$C6,TRUE,FALSE)</f>
        <v>0</v>
      </c>
      <c r="E6" s="279" t="b">
        <f>IF($U$5=LIQ_IMPUESTOS!$C7,TRUE,FALSE)</f>
        <v>0</v>
      </c>
      <c r="F6" s="279" t="b">
        <f>IF($U$5=LIQ_IMPUESTOS!$C8,TRUE,FALSE)</f>
        <v>0</v>
      </c>
      <c r="G6" s="279" t="b">
        <f>IF($U$5=LIQ_IMPUESTOS!$C9,TRUE,FALSE)</f>
        <v>0</v>
      </c>
      <c r="H6" s="279" t="b">
        <f>IF($U$5=LIQ_IMPUESTOS!$C10,TRUE,FALSE)</f>
        <v>0</v>
      </c>
      <c r="I6" s="279" t="b">
        <f>IF($U$5=LIQ_IMPUESTOS!$C11,TRUE,FALSE)</f>
        <v>0</v>
      </c>
      <c r="J6" s="279" t="b">
        <f>IF($U$5=LIQ_IMPUESTOS!$C12,TRUE,FALSE)</f>
        <v>0</v>
      </c>
      <c r="K6" s="279" t="b">
        <f>IF($U$5=LIQ_IMPUESTOS!$C13,TRUE,FALSE)</f>
        <v>0</v>
      </c>
      <c r="L6" s="279" t="b">
        <f>IF($U$5=LIQ_IMPUESTOS!$C14,TRUE,FALSE)</f>
        <v>0</v>
      </c>
      <c r="M6" s="279" t="b">
        <f>IF($U$5=LIQ_IMPUESTOS!$C15,TRUE,FALSE)</f>
        <v>0</v>
      </c>
      <c r="N6" s="279" t="b">
        <f>IF($U$5=LIQ_IMPUESTOS!$C16,TRUE,FALSE)</f>
        <v>0</v>
      </c>
      <c r="O6" s="24"/>
      <c r="P6" s="24"/>
      <c r="Q6" s="24"/>
      <c r="R6" s="24"/>
      <c r="S6" s="24"/>
      <c r="T6" s="24"/>
      <c r="U6" s="24"/>
      <c r="V6" s="24"/>
      <c r="W6" s="24"/>
      <c r="X6" s="24"/>
      <c r="Y6" s="24"/>
      <c r="Z6" s="24"/>
      <c r="AA6" s="24"/>
      <c r="AB6" s="24"/>
      <c r="AC6" s="24"/>
      <c r="AD6" s="24"/>
      <c r="AE6" s="24"/>
      <c r="AF6" s="24"/>
      <c r="AG6" s="24"/>
      <c r="AH6" s="24"/>
      <c r="AI6" s="169"/>
    </row>
    <row r="7" spans="1:35" s="168" customFormat="1" ht="12" customHeight="1" x14ac:dyDescent="0.35">
      <c r="A7" s="1019">
        <v>101</v>
      </c>
      <c r="B7" s="1024" t="s">
        <v>927</v>
      </c>
      <c r="C7" s="1028">
        <v>1</v>
      </c>
      <c r="D7" s="1028">
        <v>2</v>
      </c>
      <c r="E7" s="1028">
        <v>3</v>
      </c>
      <c r="F7" s="1028">
        <v>4</v>
      </c>
      <c r="G7" s="1028">
        <v>5</v>
      </c>
      <c r="H7" s="1028">
        <v>6</v>
      </c>
      <c r="I7" s="1028">
        <v>7</v>
      </c>
      <c r="J7" s="1028">
        <v>8</v>
      </c>
      <c r="K7" s="1028">
        <v>9</v>
      </c>
      <c r="L7" s="1028">
        <v>10</v>
      </c>
      <c r="M7" s="1028">
        <v>11</v>
      </c>
      <c r="N7" s="1028">
        <v>12</v>
      </c>
      <c r="O7" s="170"/>
      <c r="P7" s="170"/>
      <c r="Q7" s="1029">
        <v>102</v>
      </c>
      <c r="R7" s="1024" t="s">
        <v>926</v>
      </c>
      <c r="S7" s="1022" t="str">
        <f>MID(XLSperiodo,1,1)</f>
        <v>2</v>
      </c>
      <c r="T7" s="1022" t="str">
        <f>MID(XLSperiodo,2,1)</f>
        <v>0</v>
      </c>
      <c r="U7" s="1022" t="str">
        <f>MID(XLSperiodo,3,1)</f>
        <v>2</v>
      </c>
      <c r="V7" s="1022" t="str">
        <f>MID(XLSperiodo,4,1)</f>
        <v>5</v>
      </c>
      <c r="Y7" s="257">
        <v>104</v>
      </c>
      <c r="Z7" s="256" t="s">
        <v>925</v>
      </c>
      <c r="AA7" s="256"/>
      <c r="AB7" s="256"/>
      <c r="AC7" s="256"/>
      <c r="AD7" s="256"/>
      <c r="AE7" s="256"/>
      <c r="AF7" s="255"/>
      <c r="AG7" s="254"/>
      <c r="AI7" s="169"/>
    </row>
    <row r="8" spans="1:35" s="168" customFormat="1" ht="20.25" customHeight="1" x14ac:dyDescent="0.35">
      <c r="A8" s="1019"/>
      <c r="B8" s="1024"/>
      <c r="C8" s="1028"/>
      <c r="D8" s="1028"/>
      <c r="E8" s="1028"/>
      <c r="F8" s="1028"/>
      <c r="G8" s="1028"/>
      <c r="H8" s="1028"/>
      <c r="I8" s="1028"/>
      <c r="J8" s="1028"/>
      <c r="K8" s="1028"/>
      <c r="L8" s="1028"/>
      <c r="M8" s="1028"/>
      <c r="N8" s="1028"/>
      <c r="O8" s="170"/>
      <c r="P8" s="170"/>
      <c r="Q8" s="1029"/>
      <c r="R8" s="1024"/>
      <c r="S8" s="1023"/>
      <c r="T8" s="1023"/>
      <c r="U8" s="1023"/>
      <c r="V8" s="1023"/>
      <c r="W8" s="252"/>
      <c r="X8" s="252"/>
      <c r="Y8" s="1025"/>
      <c r="Z8" s="1026"/>
      <c r="AA8" s="1026"/>
      <c r="AB8" s="1026"/>
      <c r="AC8" s="1026"/>
      <c r="AD8" s="1026"/>
      <c r="AE8" s="1026"/>
      <c r="AF8" s="1026"/>
      <c r="AG8" s="1027"/>
      <c r="AI8" s="169"/>
    </row>
    <row r="9" spans="1:35" s="168" customFormat="1" ht="11.5" x14ac:dyDescent="0.35">
      <c r="A9" s="253"/>
      <c r="B9" s="174"/>
      <c r="C9" s="174"/>
      <c r="D9" s="174"/>
      <c r="E9" s="174"/>
      <c r="F9" s="174"/>
      <c r="G9" s="174"/>
      <c r="H9" s="174"/>
      <c r="I9" s="174"/>
      <c r="J9" s="174"/>
      <c r="K9" s="174"/>
      <c r="L9" s="174"/>
      <c r="M9" s="174"/>
      <c r="N9" s="174"/>
      <c r="O9" s="170"/>
      <c r="P9" s="170"/>
      <c r="Q9" s="170"/>
      <c r="R9" s="170"/>
      <c r="S9" s="174"/>
      <c r="T9" s="174"/>
      <c r="U9" s="174"/>
      <c r="V9" s="174"/>
      <c r="W9" s="252"/>
      <c r="X9" s="252"/>
      <c r="Y9" s="174"/>
      <c r="AA9" s="174"/>
      <c r="AB9" s="174"/>
      <c r="AC9" s="174"/>
      <c r="AD9" s="174"/>
      <c r="AE9" s="174"/>
      <c r="AI9" s="169"/>
    </row>
    <row r="10" spans="1:35" ht="11.5" x14ac:dyDescent="0.35">
      <c r="A10" s="167" t="s">
        <v>994</v>
      </c>
      <c r="B10" s="166"/>
      <c r="C10" s="166"/>
      <c r="D10" s="166"/>
      <c r="E10" s="166"/>
      <c r="F10" s="166"/>
      <c r="G10" s="166"/>
      <c r="H10" s="166"/>
      <c r="I10" s="166"/>
      <c r="J10" s="166"/>
      <c r="K10" s="166"/>
      <c r="L10" s="166"/>
      <c r="M10" s="166"/>
      <c r="N10" s="166"/>
      <c r="O10" s="166"/>
      <c r="P10" s="166"/>
      <c r="Q10" s="166"/>
      <c r="R10" s="166"/>
      <c r="S10" s="166"/>
      <c r="T10" s="166"/>
      <c r="U10" s="251"/>
      <c r="V10" s="166"/>
      <c r="W10" s="166"/>
      <c r="X10" s="166"/>
      <c r="Y10" s="166"/>
      <c r="Z10" s="166"/>
      <c r="AA10" s="166"/>
      <c r="AB10" s="166"/>
      <c r="AC10" s="165"/>
      <c r="AD10" s="165"/>
      <c r="AE10" s="165"/>
      <c r="AF10" s="165"/>
      <c r="AG10" s="165"/>
      <c r="AH10" s="165"/>
      <c r="AI10" s="169"/>
    </row>
    <row r="11" spans="1:35" ht="11.5" x14ac:dyDescent="0.35">
      <c r="A11" s="1020">
        <v>201</v>
      </c>
      <c r="B11" s="163" t="s">
        <v>923</v>
      </c>
      <c r="C11" s="162"/>
      <c r="D11" s="162"/>
      <c r="E11" s="162"/>
      <c r="F11" s="162"/>
      <c r="G11" s="162"/>
      <c r="H11" s="162"/>
      <c r="I11" s="162"/>
      <c r="J11" s="162"/>
      <c r="K11" s="162"/>
      <c r="L11" s="162"/>
      <c r="M11" s="162"/>
      <c r="N11" s="162"/>
      <c r="O11" s="161">
        <v>202</v>
      </c>
      <c r="P11" s="160" t="s">
        <v>922</v>
      </c>
      <c r="Q11" s="37"/>
      <c r="R11" s="159"/>
      <c r="S11" s="159"/>
      <c r="T11" s="159"/>
      <c r="U11" s="162"/>
      <c r="V11" s="159"/>
      <c r="W11" s="159"/>
      <c r="X11" s="159"/>
      <c r="Y11" s="159"/>
      <c r="Z11" s="159"/>
      <c r="AA11" s="159"/>
      <c r="AB11" s="159"/>
      <c r="AC11" s="159"/>
      <c r="AD11" s="159"/>
      <c r="AE11" s="159"/>
      <c r="AF11" s="159"/>
      <c r="AG11" s="159"/>
      <c r="AH11" s="159"/>
      <c r="AI11" s="158"/>
    </row>
    <row r="12" spans="1:35" ht="17.25" customHeight="1" x14ac:dyDescent="0.35">
      <c r="A12" s="1021"/>
      <c r="B12" s="1031" t="str">
        <f>Parametros!D4</f>
        <v>1306304542001</v>
      </c>
      <c r="C12" s="1032"/>
      <c r="D12" s="1032"/>
      <c r="E12" s="1032"/>
      <c r="F12" s="1032"/>
      <c r="G12" s="1032"/>
      <c r="H12" s="1032"/>
      <c r="I12" s="1032"/>
      <c r="J12" s="1032"/>
      <c r="K12" s="1032"/>
      <c r="L12" s="1032"/>
      <c r="M12" s="1032"/>
      <c r="N12" s="1033"/>
      <c r="O12" s="157"/>
      <c r="P12" s="1030" t="str">
        <f>Parametros!D5</f>
        <v>VELIZ NAPA JAVIER</v>
      </c>
      <c r="Q12" s="1030"/>
      <c r="R12" s="1030"/>
      <c r="S12" s="1030"/>
      <c r="T12" s="1030"/>
      <c r="U12" s="1030"/>
      <c r="V12" s="1030"/>
      <c r="W12" s="1030"/>
      <c r="X12" s="1030"/>
      <c r="Y12" s="1030"/>
      <c r="Z12" s="1030"/>
      <c r="AA12" s="1030"/>
      <c r="AB12" s="1030"/>
      <c r="AC12" s="1030"/>
      <c r="AD12" s="1030"/>
      <c r="AE12" s="1030"/>
      <c r="AF12" s="1030"/>
      <c r="AG12" s="1030"/>
      <c r="AH12" s="1030"/>
      <c r="AI12" s="250"/>
    </row>
    <row r="13" spans="1:35" ht="21" customHeight="1" thickBot="1" x14ac:dyDescent="0.4">
      <c r="A13" s="156"/>
      <c r="B13" s="155"/>
      <c r="AI13" s="19"/>
    </row>
    <row r="14" spans="1:35" s="139" customFormat="1" ht="21" customHeight="1" thickBot="1" x14ac:dyDescent="0.4">
      <c r="A14" s="1044" t="s">
        <v>993</v>
      </c>
      <c r="B14" s="1045"/>
      <c r="C14" s="1045"/>
      <c r="D14" s="1045"/>
      <c r="E14" s="1045"/>
      <c r="F14" s="1045"/>
      <c r="G14" s="1045"/>
      <c r="H14" s="1045"/>
      <c r="I14" s="1045"/>
      <c r="J14" s="1045"/>
      <c r="K14" s="1045"/>
      <c r="L14" s="1045"/>
      <c r="M14" s="1045"/>
      <c r="N14" s="1045"/>
      <c r="O14" s="1045"/>
      <c r="P14" s="1045"/>
      <c r="Q14" s="1045"/>
      <c r="R14" s="1045"/>
      <c r="S14" s="1045"/>
      <c r="T14" s="1045"/>
      <c r="U14" s="1045"/>
      <c r="V14" s="1045"/>
      <c r="W14" s="1045"/>
      <c r="X14" s="1045"/>
      <c r="Y14" s="1045"/>
      <c r="Z14" s="1045"/>
      <c r="AA14" s="1045"/>
      <c r="AB14" s="1045"/>
      <c r="AC14" s="1045"/>
      <c r="AD14" s="1045"/>
      <c r="AE14" s="1045"/>
      <c r="AF14" s="1045"/>
      <c r="AG14" s="1045"/>
      <c r="AH14" s="1045"/>
      <c r="AI14" s="1046"/>
    </row>
    <row r="15" spans="1:35" s="139" customFormat="1" ht="21" customHeight="1" thickBot="1" x14ac:dyDescent="0.4">
      <c r="A15" s="1044" t="s">
        <v>2353</v>
      </c>
      <c r="B15" s="1045"/>
      <c r="C15" s="1045"/>
      <c r="D15" s="1045"/>
      <c r="E15" s="1045"/>
      <c r="F15" s="1045"/>
      <c r="G15" s="1045"/>
      <c r="H15" s="1045"/>
      <c r="I15" s="1045"/>
      <c r="J15" s="1045"/>
      <c r="K15" s="1045"/>
      <c r="L15" s="1045"/>
      <c r="M15" s="1045"/>
      <c r="N15" s="1045"/>
      <c r="O15" s="1045"/>
      <c r="P15" s="1045"/>
      <c r="Q15" s="1045"/>
      <c r="R15" s="1045"/>
      <c r="S15" s="1045"/>
      <c r="T15" s="1045"/>
      <c r="U15" s="1045"/>
      <c r="V15" s="1045"/>
      <c r="W15" s="1045"/>
      <c r="X15" s="1045"/>
      <c r="Y15" s="1045"/>
      <c r="Z15" s="1045"/>
      <c r="AA15" s="1045"/>
      <c r="AB15" s="1045"/>
      <c r="AC15" s="1045"/>
      <c r="AD15" s="1045"/>
      <c r="AE15" s="1045"/>
      <c r="AF15" s="1045"/>
      <c r="AG15" s="1045"/>
      <c r="AH15" s="1045"/>
      <c r="AI15" s="1046"/>
    </row>
    <row r="16" spans="1:35" s="139" customFormat="1" ht="21" customHeight="1" thickBot="1" x14ac:dyDescent="0.4">
      <c r="A16" s="833"/>
      <c r="B16" s="834"/>
      <c r="C16" s="834"/>
      <c r="D16" s="834"/>
      <c r="E16" s="834"/>
      <c r="F16" s="834"/>
      <c r="G16" s="834"/>
      <c r="H16" s="834"/>
      <c r="I16" s="834"/>
      <c r="J16" s="834"/>
      <c r="K16" s="834"/>
      <c r="L16" s="834"/>
      <c r="M16" s="834"/>
      <c r="N16" s="834"/>
      <c r="O16" s="834"/>
      <c r="P16" s="834"/>
      <c r="Q16" s="834"/>
      <c r="R16" s="834"/>
      <c r="S16" s="834"/>
      <c r="T16" s="834"/>
      <c r="U16" s="834"/>
      <c r="V16" s="1044" t="s">
        <v>992</v>
      </c>
      <c r="W16" s="1045"/>
      <c r="X16" s="1045"/>
      <c r="Y16" s="1045"/>
      <c r="Z16" s="1045"/>
      <c r="AA16" s="1045"/>
      <c r="AB16" s="1046"/>
      <c r="AC16" s="1044" t="s">
        <v>991</v>
      </c>
      <c r="AD16" s="1045"/>
      <c r="AE16" s="1045"/>
      <c r="AF16" s="1045"/>
      <c r="AG16" s="1045"/>
      <c r="AH16" s="1045"/>
      <c r="AI16" s="1046"/>
    </row>
    <row r="17" spans="1:37" ht="21" customHeight="1" outlineLevel="1" thickBot="1" x14ac:dyDescent="0.4">
      <c r="A17" s="948" t="s">
        <v>2354</v>
      </c>
      <c r="B17" s="949"/>
      <c r="C17" s="949"/>
      <c r="D17" s="949"/>
      <c r="E17" s="949"/>
      <c r="F17" s="949"/>
      <c r="G17" s="949"/>
      <c r="H17" s="949"/>
      <c r="I17" s="949"/>
      <c r="J17" s="949"/>
      <c r="K17" s="949"/>
      <c r="L17" s="949"/>
      <c r="M17" s="949"/>
      <c r="N17" s="949"/>
      <c r="O17" s="949"/>
      <c r="P17" s="949"/>
      <c r="Q17" s="949"/>
      <c r="R17" s="949"/>
      <c r="S17" s="949"/>
      <c r="T17" s="949"/>
      <c r="U17" s="949"/>
      <c r="V17" s="949"/>
      <c r="W17" s="949"/>
      <c r="X17" s="949"/>
      <c r="Y17" s="949"/>
      <c r="Z17" s="949"/>
      <c r="AA17" s="949"/>
      <c r="AB17" s="949"/>
      <c r="AC17" s="949"/>
      <c r="AD17" s="949"/>
      <c r="AE17" s="949"/>
      <c r="AF17" s="949"/>
      <c r="AG17" s="949"/>
      <c r="AH17" s="949"/>
      <c r="AI17" s="950"/>
    </row>
    <row r="18" spans="1:37" ht="21" customHeight="1" outlineLevel="1" x14ac:dyDescent="0.35">
      <c r="A18" s="119" t="s">
        <v>990</v>
      </c>
      <c r="B18" s="118"/>
      <c r="C18" s="118"/>
      <c r="D18" s="118"/>
      <c r="E18" s="118"/>
      <c r="F18" s="118"/>
      <c r="G18" s="118"/>
      <c r="H18" s="118"/>
      <c r="I18" s="118"/>
      <c r="J18" s="118"/>
      <c r="K18" s="118"/>
      <c r="L18" s="118"/>
      <c r="M18" s="118"/>
      <c r="N18" s="118"/>
      <c r="O18" s="118"/>
      <c r="P18" s="118"/>
      <c r="Q18" s="118"/>
      <c r="R18" s="118"/>
      <c r="S18" s="118"/>
      <c r="T18" s="118"/>
      <c r="U18" s="238"/>
      <c r="V18" s="111">
        <v>302</v>
      </c>
      <c r="W18" s="225" t="s">
        <v>773</v>
      </c>
      <c r="X18" s="944">
        <f>+SUMIFS(COMPRAS!BG:BG,COMPRAS!BF:BF,V18,COMPRAS!DD:DD,"SI")+SUMIFS(COMPRAS!BP:BP,COMPRAS!BO:BO,V18,COMPRAS!DD:DD,"SI")+SUMIFS(COMPRAS!BY:BY,COMPRAS!BX:BX,V18,COMPRAS!DD:DD,"SI")</f>
        <v>0</v>
      </c>
      <c r="Y18" s="945"/>
      <c r="Z18" s="945"/>
      <c r="AA18" s="945"/>
      <c r="AB18" s="130"/>
      <c r="AC18" s="111">
        <v>352</v>
      </c>
      <c r="AD18" s="74" t="s">
        <v>773</v>
      </c>
      <c r="AE18" s="944">
        <f>SUMIFS(COMPRAS!BI:BI,COMPRAS!BF:BF,V18,COMPRAS!DD:DD,"SI")+SUMIFS(COMPRAS!BR:BR,COMPRAS!BO:BO,V18,COMPRAS!DD:DD,"SI")+SUMIFS(COMPRAS!CA:CA,COMPRAS!BX:BX,V18,COMPRAS!DD:DD,"SI")</f>
        <v>0</v>
      </c>
      <c r="AF18" s="945"/>
      <c r="AG18" s="945"/>
      <c r="AH18" s="945"/>
      <c r="AI18" s="14"/>
      <c r="AK18" s="75"/>
    </row>
    <row r="19" spans="1:37" ht="21" customHeight="1" outlineLevel="1" x14ac:dyDescent="0.35">
      <c r="A19" s="1072" t="s">
        <v>989</v>
      </c>
      <c r="B19" s="1073"/>
      <c r="C19" s="1074"/>
      <c r="D19" s="15" t="s">
        <v>988</v>
      </c>
      <c r="E19" s="15"/>
      <c r="F19" s="15"/>
      <c r="G19" s="15"/>
      <c r="H19" s="15"/>
      <c r="I19" s="15"/>
      <c r="J19" s="15"/>
      <c r="K19" s="15"/>
      <c r="L19" s="15"/>
      <c r="M19" s="15"/>
      <c r="N19" s="15"/>
      <c r="O19" s="15"/>
      <c r="P19" s="15"/>
      <c r="Q19" s="15"/>
      <c r="R19" s="15"/>
      <c r="S19" s="15"/>
      <c r="T19" s="15"/>
      <c r="U19" s="130"/>
      <c r="V19" s="111">
        <v>303</v>
      </c>
      <c r="W19" s="225" t="s">
        <v>773</v>
      </c>
      <c r="X19" s="944">
        <f>SUM(X20:AA20)</f>
        <v>0</v>
      </c>
      <c r="Y19" s="945"/>
      <c r="Z19" s="945"/>
      <c r="AA19" s="945"/>
      <c r="AB19" s="130"/>
      <c r="AC19" s="111">
        <v>353</v>
      </c>
      <c r="AD19" s="74" t="s">
        <v>773</v>
      </c>
      <c r="AE19" s="944">
        <f>SUM(AE20:AH20)</f>
        <v>0</v>
      </c>
      <c r="AF19" s="945"/>
      <c r="AG19" s="945"/>
      <c r="AH19" s="945"/>
      <c r="AI19" s="14"/>
      <c r="AJ19" s="270"/>
    </row>
    <row r="20" spans="1:37" ht="21" hidden="1" customHeight="1" outlineLevel="2" x14ac:dyDescent="0.35">
      <c r="A20" s="1068"/>
      <c r="B20" s="980"/>
      <c r="C20" s="988"/>
      <c r="D20" s="15"/>
      <c r="E20" s="15"/>
      <c r="F20" s="15"/>
      <c r="G20" s="15"/>
      <c r="H20" s="15"/>
      <c r="I20" s="15"/>
      <c r="J20" s="15"/>
      <c r="K20" s="15"/>
      <c r="L20" s="15"/>
      <c r="M20" s="15"/>
      <c r="N20" s="15"/>
      <c r="O20" s="15"/>
      <c r="P20" s="15"/>
      <c r="Q20" s="15"/>
      <c r="R20" s="15"/>
      <c r="S20" s="15"/>
      <c r="T20" s="15"/>
      <c r="U20" s="245" t="s">
        <v>2331</v>
      </c>
      <c r="V20" s="793">
        <v>303</v>
      </c>
      <c r="W20" s="225"/>
      <c r="X20" s="944">
        <f>+SUMIFS(COMPRAS!BG:BG,COMPRAS!BF:BF,V20,COMPRAS!DD:DD,"SI")+SUMIFS(COMPRAS!BP:BP,COMPRAS!BO:BO,V20,COMPRAS!DD:DD,"SI")+SUMIFS(COMPRAS!BY:BY,COMPRAS!BX:BX,V20,COMPRAS!DD:DD,"SI")</f>
        <v>0</v>
      </c>
      <c r="Y20" s="945"/>
      <c r="Z20" s="945"/>
      <c r="AA20" s="945"/>
      <c r="AB20" s="130"/>
      <c r="AC20" s="226"/>
      <c r="AD20" s="74"/>
      <c r="AE20" s="944">
        <f>SUMIFS(COMPRAS!BI:BI,COMPRAS!BF:BF,V20,COMPRAS!DD:DD,"SI")+SUMIFS(COMPRAS!BR:BR,COMPRAS!BO:BO,V20,COMPRAS!DD:DD,"SI")+SUMIFS(COMPRAS!CA:CA,COMPRAS!BX:BX,V20,COMPRAS!DD:DD,"SI")</f>
        <v>0</v>
      </c>
      <c r="AF20" s="945"/>
      <c r="AG20" s="945"/>
      <c r="AH20" s="945"/>
      <c r="AI20" s="14"/>
      <c r="AJ20" s="270"/>
    </row>
    <row r="21" spans="1:37" ht="21" customHeight="1" outlineLevel="1" collapsed="1" x14ac:dyDescent="0.35">
      <c r="A21" s="1068"/>
      <c r="B21" s="980"/>
      <c r="C21" s="988"/>
      <c r="D21" s="15" t="s">
        <v>2341</v>
      </c>
      <c r="E21" s="15"/>
      <c r="F21" s="15"/>
      <c r="G21" s="15"/>
      <c r="H21" s="15"/>
      <c r="I21" s="15"/>
      <c r="J21" s="15"/>
      <c r="K21" s="15"/>
      <c r="L21" s="15"/>
      <c r="M21" s="15"/>
      <c r="N21" s="15"/>
      <c r="O21" s="15"/>
      <c r="P21" s="15"/>
      <c r="Q21" s="15"/>
      <c r="R21" s="15"/>
      <c r="S21" s="15"/>
      <c r="T21" s="15"/>
      <c r="U21" s="245"/>
      <c r="V21" s="111">
        <v>3030</v>
      </c>
      <c r="W21" s="225" t="s">
        <v>773</v>
      </c>
      <c r="X21" s="944">
        <f>SUM(X22:AA22)</f>
        <v>0</v>
      </c>
      <c r="Y21" s="945"/>
      <c r="Z21" s="945"/>
      <c r="AA21" s="945"/>
      <c r="AB21" s="130"/>
      <c r="AC21" s="111">
        <v>3530</v>
      </c>
      <c r="AD21" s="74" t="s">
        <v>773</v>
      </c>
      <c r="AE21" s="944">
        <f>SUM(AE22:AH22)</f>
        <v>0</v>
      </c>
      <c r="AF21" s="945"/>
      <c r="AG21" s="945"/>
      <c r="AH21" s="945"/>
      <c r="AI21" s="14"/>
      <c r="AJ21" s="270"/>
    </row>
    <row r="22" spans="1:37" ht="21" hidden="1" customHeight="1" outlineLevel="2" x14ac:dyDescent="0.35">
      <c r="A22" s="1068"/>
      <c r="B22" s="980"/>
      <c r="C22" s="988"/>
      <c r="D22" s="15"/>
      <c r="E22" s="15"/>
      <c r="F22" s="15"/>
      <c r="G22" s="15"/>
      <c r="H22" s="15"/>
      <c r="I22" s="15"/>
      <c r="J22" s="15"/>
      <c r="K22" s="15"/>
      <c r="L22" s="15"/>
      <c r="M22" s="15"/>
      <c r="N22" s="15"/>
      <c r="O22" s="15"/>
      <c r="P22" s="15"/>
      <c r="Q22" s="15"/>
      <c r="R22" s="15"/>
      <c r="S22" s="15"/>
      <c r="T22" s="15"/>
      <c r="U22" s="245" t="s">
        <v>2316</v>
      </c>
      <c r="V22" s="793" t="s">
        <v>2315</v>
      </c>
      <c r="W22" s="225"/>
      <c r="X22" s="944">
        <f>+SUMIFS(COMPRAS!BG:BG,COMPRAS!BF:BF,V22,COMPRAS!DD:DD,"SI")+SUMIFS(COMPRAS!BP:BP,COMPRAS!BO:BO,V22,COMPRAS!DD:DD,"SI")+SUMIFS(COMPRAS!BY:BY,COMPRAS!BX:BX,V22,COMPRAS!DD:DD,"SI")</f>
        <v>0</v>
      </c>
      <c r="Y22" s="945"/>
      <c r="Z22" s="945"/>
      <c r="AA22" s="945"/>
      <c r="AB22" s="130"/>
      <c r="AC22" s="226"/>
      <c r="AD22" s="74"/>
      <c r="AE22" s="944">
        <f>SUMIFS(COMPRAS!BI:BI,COMPRAS!BF:BF,V22,COMPRAS!DD:DD,"SI")+SUMIFS(COMPRAS!BR:BR,COMPRAS!BO:BO,V22,COMPRAS!DD:DD,"SI")+SUMIFS(COMPRAS!CA:CA,COMPRAS!BX:BX,V22,COMPRAS!DD:DD,"SI")</f>
        <v>0</v>
      </c>
      <c r="AF22" s="945"/>
      <c r="AG22" s="945"/>
      <c r="AH22" s="945"/>
      <c r="AI22" s="14"/>
      <c r="AJ22" s="270"/>
    </row>
    <row r="23" spans="1:37" ht="21" customHeight="1" outlineLevel="1" collapsed="1" x14ac:dyDescent="0.35">
      <c r="A23" s="1068"/>
      <c r="B23" s="980"/>
      <c r="C23" s="988"/>
      <c r="D23" s="15" t="s">
        <v>987</v>
      </c>
      <c r="E23" s="15"/>
      <c r="F23" s="15"/>
      <c r="G23" s="15"/>
      <c r="H23" s="15"/>
      <c r="I23" s="15"/>
      <c r="J23" s="15"/>
      <c r="K23" s="15"/>
      <c r="L23" s="15"/>
      <c r="M23" s="15"/>
      <c r="N23" s="15"/>
      <c r="O23" s="15"/>
      <c r="P23" s="15"/>
      <c r="Q23" s="15"/>
      <c r="R23" s="15"/>
      <c r="S23" s="15"/>
      <c r="T23" s="15"/>
      <c r="U23" s="130"/>
      <c r="V23" s="111">
        <v>304</v>
      </c>
      <c r="W23" s="225" t="s">
        <v>773</v>
      </c>
      <c r="X23" s="944">
        <f>SUM(X24:AA29)</f>
        <v>0</v>
      </c>
      <c r="Y23" s="945"/>
      <c r="Z23" s="945"/>
      <c r="AA23" s="945"/>
      <c r="AB23" s="130"/>
      <c r="AC23" s="226">
        <v>354</v>
      </c>
      <c r="AD23" s="74" t="s">
        <v>773</v>
      </c>
      <c r="AE23" s="944">
        <f>SUM(AE24:AH29)</f>
        <v>0</v>
      </c>
      <c r="AF23" s="945"/>
      <c r="AG23" s="945"/>
      <c r="AH23" s="945"/>
      <c r="AI23" s="14"/>
      <c r="AJ23" s="270"/>
    </row>
    <row r="24" spans="1:37" ht="21" hidden="1" customHeight="1" outlineLevel="2" x14ac:dyDescent="0.35">
      <c r="A24" s="1068"/>
      <c r="B24" s="980"/>
      <c r="C24" s="988"/>
      <c r="D24" s="76"/>
      <c r="E24" s="76"/>
      <c r="F24" s="15"/>
      <c r="G24" s="15"/>
      <c r="H24" s="15"/>
      <c r="I24" s="15"/>
      <c r="J24" s="15"/>
      <c r="K24" s="15"/>
      <c r="L24" s="15"/>
      <c r="M24" s="15"/>
      <c r="N24" s="15"/>
      <c r="O24" s="15"/>
      <c r="P24" s="15"/>
      <c r="Q24" s="15"/>
      <c r="R24" s="15"/>
      <c r="S24" s="15"/>
      <c r="T24" s="15"/>
      <c r="U24" s="245" t="s">
        <v>81</v>
      </c>
      <c r="V24" s="246">
        <v>304</v>
      </c>
      <c r="W24" s="225"/>
      <c r="X24" s="944">
        <f>+SUMIFS(COMPRAS!BG:BG,COMPRAS!BF:BF,V24,COMPRAS!DD:DD,"SI")+SUMIFS(COMPRAS!BP:BP,COMPRAS!BO:BO,V24,COMPRAS!DD:DD,"SI")+SUMIFS(COMPRAS!BY:BY,COMPRAS!BX:BX,V24,COMPRAS!DD:DD,"SI")</f>
        <v>0</v>
      </c>
      <c r="Y24" s="945"/>
      <c r="Z24" s="945"/>
      <c r="AA24" s="945"/>
      <c r="AB24" s="130"/>
      <c r="AC24" s="226"/>
      <c r="AD24" s="74"/>
      <c r="AE24" s="944">
        <f>SUMIFS(COMPRAS!BI:BI,COMPRAS!BF:BF,V24,COMPRAS!DD:DD,"SI")+SUMIFS(COMPRAS!BR:BR,COMPRAS!BO:BO,V24,COMPRAS!DD:DD,"SI")+SUMIFS(COMPRAS!CA:CA,COMPRAS!BX:BX,V24,COMPRAS!DD:DD,"SI")</f>
        <v>0</v>
      </c>
      <c r="AF24" s="945"/>
      <c r="AG24" s="945"/>
      <c r="AH24" s="945"/>
      <c r="AI24" s="14"/>
    </row>
    <row r="25" spans="1:37" ht="21" hidden="1" customHeight="1" outlineLevel="2" x14ac:dyDescent="0.35">
      <c r="A25" s="1068"/>
      <c r="B25" s="980"/>
      <c r="C25" s="988"/>
      <c r="D25" s="76"/>
      <c r="E25" s="76"/>
      <c r="F25" s="15"/>
      <c r="G25" s="15"/>
      <c r="H25" s="15"/>
      <c r="I25" s="15"/>
      <c r="J25" s="15"/>
      <c r="K25" s="15"/>
      <c r="L25" s="15"/>
      <c r="M25" s="15"/>
      <c r="N25" s="15"/>
      <c r="O25" s="15"/>
      <c r="P25" s="15"/>
      <c r="Q25" s="15"/>
      <c r="R25" s="15"/>
      <c r="S25" s="15"/>
      <c r="T25" s="15"/>
      <c r="U25" s="245" t="s">
        <v>83</v>
      </c>
      <c r="V25" s="246" t="s">
        <v>82</v>
      </c>
      <c r="W25" s="225"/>
      <c r="X25" s="944">
        <f>+SUMIFS(COMPRAS!BG:BG,COMPRAS!BF:BF,V25,COMPRAS!DD:DD,"SI")+SUMIFS(COMPRAS!BP:BP,COMPRAS!BO:BO,V25,COMPRAS!DD:DD,"SI")+SUMIFS(COMPRAS!BY:BY,COMPRAS!BX:BX,V25,COMPRAS!DD:DD,"SI")</f>
        <v>0</v>
      </c>
      <c r="Y25" s="945"/>
      <c r="Z25" s="945"/>
      <c r="AA25" s="945"/>
      <c r="AB25" s="130"/>
      <c r="AC25" s="226"/>
      <c r="AD25" s="74"/>
      <c r="AE25" s="944">
        <f>SUMIFS(COMPRAS!BI:BI,COMPRAS!BF:BF,V25,COMPRAS!DD:DD,"SI")+SUMIFS(COMPRAS!BR:BR,COMPRAS!BO:BO,V25,COMPRAS!DD:DD,"SI")+SUMIFS(COMPRAS!CA:CA,COMPRAS!BX:BX,V25,COMPRAS!DD:DD,"SI")</f>
        <v>0</v>
      </c>
      <c r="AF25" s="945"/>
      <c r="AG25" s="945"/>
      <c r="AH25" s="945"/>
      <c r="AI25" s="14"/>
    </row>
    <row r="26" spans="1:37" ht="21" hidden="1" customHeight="1" outlineLevel="2" x14ac:dyDescent="0.35">
      <c r="A26" s="1068"/>
      <c r="B26" s="980"/>
      <c r="C26" s="988"/>
      <c r="D26" s="76"/>
      <c r="E26" s="76"/>
      <c r="F26" s="15"/>
      <c r="G26" s="15"/>
      <c r="H26" s="15"/>
      <c r="I26" s="15"/>
      <c r="J26" s="15"/>
      <c r="K26" s="15"/>
      <c r="L26" s="15"/>
      <c r="M26" s="15"/>
      <c r="N26" s="15"/>
      <c r="O26" s="15"/>
      <c r="P26" s="15"/>
      <c r="Q26" s="15"/>
      <c r="R26" s="15"/>
      <c r="S26" s="15"/>
      <c r="T26" s="15"/>
      <c r="U26" s="245" t="s">
        <v>85</v>
      </c>
      <c r="V26" s="246" t="s">
        <v>84</v>
      </c>
      <c r="W26" s="225"/>
      <c r="X26" s="944">
        <f>+SUMIFS(COMPRAS!BG:BG,COMPRAS!BF:BF,V26,COMPRAS!DD:DD,"SI")+SUMIFS(COMPRAS!BP:BP,COMPRAS!BO:BO,V26,COMPRAS!DD:DD,"SI")+SUMIFS(COMPRAS!BY:BY,COMPRAS!BX:BX,V26,COMPRAS!DD:DD,"SI")</f>
        <v>0</v>
      </c>
      <c r="Y26" s="945"/>
      <c r="Z26" s="945"/>
      <c r="AA26" s="945"/>
      <c r="AB26" s="130"/>
      <c r="AC26" s="226"/>
      <c r="AD26" s="74"/>
      <c r="AE26" s="944">
        <f>SUMIFS(COMPRAS!BI:BI,COMPRAS!BF:BF,V26,COMPRAS!DD:DD,"SI")+SUMIFS(COMPRAS!BR:BR,COMPRAS!BO:BO,V26,COMPRAS!DD:DD,"SI")+SUMIFS(COMPRAS!CA:CA,COMPRAS!BX:BX,V26,COMPRAS!DD:DD,"SI")</f>
        <v>0</v>
      </c>
      <c r="AF26" s="945"/>
      <c r="AG26" s="945"/>
      <c r="AH26" s="945"/>
      <c r="AI26" s="14"/>
    </row>
    <row r="27" spans="1:37" ht="21" hidden="1" customHeight="1" outlineLevel="2" x14ac:dyDescent="0.35">
      <c r="A27" s="1068"/>
      <c r="B27" s="980"/>
      <c r="C27" s="988"/>
      <c r="D27" s="76"/>
      <c r="E27" s="76"/>
      <c r="F27" s="15"/>
      <c r="G27" s="15"/>
      <c r="H27" s="15"/>
      <c r="I27" s="15"/>
      <c r="J27" s="15"/>
      <c r="K27" s="15"/>
      <c r="L27" s="15"/>
      <c r="M27" s="15"/>
      <c r="N27" s="15"/>
      <c r="O27" s="15"/>
      <c r="P27" s="15"/>
      <c r="Q27" s="15"/>
      <c r="R27" s="15"/>
      <c r="S27" s="15"/>
      <c r="T27" s="15"/>
      <c r="U27" s="245" t="s">
        <v>87</v>
      </c>
      <c r="V27" s="246" t="s">
        <v>86</v>
      </c>
      <c r="W27" s="225"/>
      <c r="X27" s="944">
        <f>+SUMIFS(COMPRAS!BG:BG,COMPRAS!BF:BF,V27,COMPRAS!DD:DD,"SI")+SUMIFS(COMPRAS!BP:BP,COMPRAS!BO:BO,V27,COMPRAS!DD:DD,"SI")+SUMIFS(COMPRAS!BY:BY,COMPRAS!BX:BX,V27,COMPRAS!DD:DD,"SI")</f>
        <v>0</v>
      </c>
      <c r="Y27" s="945"/>
      <c r="Z27" s="945"/>
      <c r="AA27" s="945"/>
      <c r="AB27" s="130"/>
      <c r="AC27" s="226"/>
      <c r="AD27" s="74"/>
      <c r="AE27" s="944">
        <f>SUMIFS(COMPRAS!BI:BI,COMPRAS!BF:BF,V27,COMPRAS!DD:DD,"SI")+SUMIFS(COMPRAS!BR:BR,COMPRAS!BO:BO,V27,COMPRAS!DD:DD,"SI")+SUMIFS(COMPRAS!CA:CA,COMPRAS!BX:BX,V27,COMPRAS!DD:DD,"SI")</f>
        <v>0</v>
      </c>
      <c r="AF27" s="945"/>
      <c r="AG27" s="945"/>
      <c r="AH27" s="945"/>
      <c r="AI27" s="14"/>
    </row>
    <row r="28" spans="1:37" ht="21" hidden="1" customHeight="1" outlineLevel="2" x14ac:dyDescent="0.35">
      <c r="A28" s="1068"/>
      <c r="B28" s="980"/>
      <c r="C28" s="988"/>
      <c r="D28" s="76"/>
      <c r="E28" s="76"/>
      <c r="F28" s="15"/>
      <c r="G28" s="15"/>
      <c r="H28" s="15"/>
      <c r="I28" s="15"/>
      <c r="J28" s="15"/>
      <c r="K28" s="15"/>
      <c r="L28" s="15"/>
      <c r="M28" s="15"/>
      <c r="N28" s="15"/>
      <c r="O28" s="15"/>
      <c r="P28" s="15"/>
      <c r="Q28" s="15"/>
      <c r="R28" s="15"/>
      <c r="S28" s="15"/>
      <c r="T28" s="15"/>
      <c r="U28" s="245" t="s">
        <v>89</v>
      </c>
      <c r="V28" s="246" t="s">
        <v>88</v>
      </c>
      <c r="W28" s="225"/>
      <c r="X28" s="944">
        <f>+SUMIFS(COMPRAS!BG:BG,COMPRAS!BF:BF,V28,COMPRAS!DD:DD,"SI")+SUMIFS(COMPRAS!BP:BP,COMPRAS!BO:BO,V28,COMPRAS!DD:DD,"SI")+SUMIFS(COMPRAS!BY:BY,COMPRAS!BX:BX,V28,COMPRAS!DD:DD,"SI")</f>
        <v>0</v>
      </c>
      <c r="Y28" s="945"/>
      <c r="Z28" s="945"/>
      <c r="AA28" s="945"/>
      <c r="AB28" s="130"/>
      <c r="AC28" s="226"/>
      <c r="AD28" s="74"/>
      <c r="AE28" s="944">
        <f>SUMIFS(COMPRAS!BI:BI,COMPRAS!BF:BF,V28,COMPRAS!DD:DD,"SI")+SUMIFS(COMPRAS!BR:BR,COMPRAS!BO:BO,V28,COMPRAS!DD:DD,"SI")+SUMIFS(COMPRAS!CA:CA,COMPRAS!BX:BX,V28,COMPRAS!DD:DD,"SI")</f>
        <v>0</v>
      </c>
      <c r="AF28" s="945"/>
      <c r="AG28" s="945"/>
      <c r="AH28" s="945"/>
      <c r="AI28" s="14"/>
    </row>
    <row r="29" spans="1:37" ht="21" hidden="1" customHeight="1" outlineLevel="2" x14ac:dyDescent="0.35">
      <c r="A29" s="1068"/>
      <c r="B29" s="980"/>
      <c r="C29" s="988"/>
      <c r="D29" s="76"/>
      <c r="E29" s="76"/>
      <c r="F29" s="15"/>
      <c r="G29" s="15"/>
      <c r="H29" s="15"/>
      <c r="I29" s="15"/>
      <c r="J29" s="15"/>
      <c r="K29" s="15"/>
      <c r="L29" s="15"/>
      <c r="M29" s="15"/>
      <c r="N29" s="15"/>
      <c r="O29" s="15"/>
      <c r="P29" s="15"/>
      <c r="Q29" s="15"/>
      <c r="R29" s="15"/>
      <c r="S29" s="15"/>
      <c r="T29" s="15"/>
      <c r="U29" s="245" t="s">
        <v>91</v>
      </c>
      <c r="V29" s="246" t="s">
        <v>90</v>
      </c>
      <c r="W29" s="225"/>
      <c r="X29" s="944">
        <f>+SUMIFS(COMPRAS!BG:BG,COMPRAS!BF:BF,V29,COMPRAS!DD:DD,"SI")+SUMIFS(COMPRAS!BP:BP,COMPRAS!BO:BO,V29,COMPRAS!DD:DD,"SI")+SUMIFS(COMPRAS!BY:BY,COMPRAS!BX:BX,V29,COMPRAS!DD:DD,"SI")</f>
        <v>0</v>
      </c>
      <c r="Y29" s="945"/>
      <c r="Z29" s="945"/>
      <c r="AA29" s="945"/>
      <c r="AB29" s="130"/>
      <c r="AC29" s="226"/>
      <c r="AD29" s="74"/>
      <c r="AE29" s="944">
        <f>SUMIFS(COMPRAS!BI:BI,COMPRAS!BF:BF,V29,COMPRAS!DD:DD,"SI")+SUMIFS(COMPRAS!BR:BR,COMPRAS!BO:BO,V29,COMPRAS!DD:DD,"SI")+SUMIFS(COMPRAS!CA:CA,COMPRAS!BX:BX,V29,COMPRAS!DD:DD,"SI")</f>
        <v>0</v>
      </c>
      <c r="AF29" s="945"/>
      <c r="AG29" s="945"/>
      <c r="AH29" s="945"/>
      <c r="AI29" s="14"/>
    </row>
    <row r="30" spans="1:37" ht="21" customHeight="1" outlineLevel="1" collapsed="1" x14ac:dyDescent="0.35">
      <c r="A30" s="1068"/>
      <c r="B30" s="980"/>
      <c r="C30" s="988"/>
      <c r="D30" s="15" t="s">
        <v>986</v>
      </c>
      <c r="E30" s="15"/>
      <c r="F30" s="15"/>
      <c r="G30" s="15"/>
      <c r="H30" s="15"/>
      <c r="I30" s="15"/>
      <c r="J30" s="15"/>
      <c r="K30" s="15"/>
      <c r="L30" s="15"/>
      <c r="M30" s="15"/>
      <c r="N30" s="15"/>
      <c r="O30" s="15"/>
      <c r="P30" s="15"/>
      <c r="Q30" s="15"/>
      <c r="R30" s="15"/>
      <c r="S30" s="15"/>
      <c r="T30" s="15"/>
      <c r="U30" s="130"/>
      <c r="V30" s="111">
        <v>307</v>
      </c>
      <c r="W30" s="225" t="s">
        <v>773</v>
      </c>
      <c r="X30" s="944">
        <f>+SUMIFS(COMPRAS!BG:BG,COMPRAS!BF:BF,V30,COMPRAS!DD:DD,"SI")+SUMIFS(COMPRAS!BP:BP,COMPRAS!BO:BO,V30,COMPRAS!DD:DD,"SI")+SUMIFS(COMPRAS!BY:BY,COMPRAS!BX:BX,V30,COMPRAS!DD:DD,"SI")</f>
        <v>0</v>
      </c>
      <c r="Y30" s="945"/>
      <c r="Z30" s="945"/>
      <c r="AA30" s="945"/>
      <c r="AB30" s="130"/>
      <c r="AC30" s="111">
        <v>357</v>
      </c>
      <c r="AD30" s="74" t="s">
        <v>773</v>
      </c>
      <c r="AE30" s="944">
        <f>SUMIFS(COMPRAS!BI:BI,COMPRAS!BF:BF,V30,COMPRAS!DD:DD,"SI")+SUMIFS(COMPRAS!BR:BR,COMPRAS!BO:BO,V30,COMPRAS!DD:DD,"SI")+SUMIFS(COMPRAS!CA:CA,COMPRAS!BX:BX,V30,COMPRAS!DD:DD,"SI")</f>
        <v>0</v>
      </c>
      <c r="AF30" s="945"/>
      <c r="AG30" s="945"/>
      <c r="AH30" s="945"/>
      <c r="AI30" s="14"/>
      <c r="AJ30" s="270"/>
    </row>
    <row r="31" spans="1:37" ht="21" customHeight="1" outlineLevel="1" x14ac:dyDescent="0.35">
      <c r="A31" s="1068"/>
      <c r="B31" s="980"/>
      <c r="C31" s="988"/>
      <c r="D31" s="15" t="s">
        <v>985</v>
      </c>
      <c r="E31" s="15"/>
      <c r="F31" s="15"/>
      <c r="G31" s="15"/>
      <c r="H31" s="15"/>
      <c r="I31" s="15"/>
      <c r="J31" s="15"/>
      <c r="K31" s="15"/>
      <c r="L31" s="15"/>
      <c r="M31" s="15"/>
      <c r="N31" s="15"/>
      <c r="O31" s="15"/>
      <c r="P31" s="15"/>
      <c r="Q31" s="15"/>
      <c r="R31" s="15"/>
      <c r="S31" s="15"/>
      <c r="T31" s="15"/>
      <c r="U31" s="130"/>
      <c r="V31" s="111">
        <v>308</v>
      </c>
      <c r="W31" s="225" t="s">
        <v>773</v>
      </c>
      <c r="X31" s="944">
        <f>+SUMIFS(COMPRAS!BG:BG,COMPRAS!BF:BF,V31,COMPRAS!DD:DD,"SI")+SUMIFS(COMPRAS!BP:BP,COMPRAS!BO:BO,V31,COMPRAS!DD:DD,"SI")+SUMIFS(COMPRAS!BY:BY,COMPRAS!BX:BX,V31,COMPRAS!DD:DD,"SI")</f>
        <v>0</v>
      </c>
      <c r="Y31" s="945"/>
      <c r="Z31" s="945"/>
      <c r="AA31" s="945"/>
      <c r="AB31" s="130"/>
      <c r="AC31" s="111">
        <v>358</v>
      </c>
      <c r="AD31" s="74" t="s">
        <v>773</v>
      </c>
      <c r="AE31" s="944">
        <f>SUMIFS(COMPRAS!BI:BI,COMPRAS!BF:BF,V31,COMPRAS!DD:DD,"SI")+SUMIFS(COMPRAS!BR:BR,COMPRAS!BO:BO,V31,COMPRAS!DD:DD,"SI")+SUMIFS(COMPRAS!CA:CA,COMPRAS!BX:BX,V31,COMPRAS!DD:DD,"SI")</f>
        <v>0</v>
      </c>
      <c r="AF31" s="945"/>
      <c r="AG31" s="945"/>
      <c r="AH31" s="945"/>
      <c r="AI31" s="14"/>
      <c r="AJ31" s="270"/>
    </row>
    <row r="32" spans="1:37" ht="21" customHeight="1" outlineLevel="1" x14ac:dyDescent="0.35">
      <c r="A32" s="1068"/>
      <c r="B32" s="980"/>
      <c r="C32" s="988"/>
      <c r="D32" s="15" t="s">
        <v>984</v>
      </c>
      <c r="E32" s="15"/>
      <c r="F32" s="15"/>
      <c r="G32" s="15"/>
      <c r="H32" s="15"/>
      <c r="I32" s="15"/>
      <c r="J32" s="15"/>
      <c r="K32" s="15"/>
      <c r="L32" s="15"/>
      <c r="M32" s="15"/>
      <c r="N32" s="15"/>
      <c r="O32" s="15"/>
      <c r="P32" s="15"/>
      <c r="Q32" s="15"/>
      <c r="R32" s="15"/>
      <c r="S32" s="15"/>
      <c r="T32" s="15"/>
      <c r="U32" s="130"/>
      <c r="V32" s="111">
        <v>309</v>
      </c>
      <c r="W32" s="225" t="s">
        <v>773</v>
      </c>
      <c r="X32" s="944">
        <f>+SUMIFS(COMPRAS!BG:BG,COMPRAS!BF:BF,V32,COMPRAS!DD:DD,"SI")+SUMIFS(COMPRAS!BP:BP,COMPRAS!BO:BO,V32,COMPRAS!DD:DD,"SI")+SUMIFS(COMPRAS!BY:BY,COMPRAS!BX:BX,V32,COMPRAS!DD:DD,"SI")</f>
        <v>0</v>
      </c>
      <c r="Y32" s="945"/>
      <c r="Z32" s="945"/>
      <c r="AA32" s="945"/>
      <c r="AB32" s="130"/>
      <c r="AC32" s="111">
        <v>359</v>
      </c>
      <c r="AD32" s="74" t="s">
        <v>773</v>
      </c>
      <c r="AE32" s="944">
        <f>SUMIFS(COMPRAS!BI:BI,COMPRAS!BF:BF,V32,COMPRAS!DD:DD,"SI")+SUMIFS(COMPRAS!BR:BR,COMPRAS!BO:BO,V32,COMPRAS!DD:DD,"SI")+SUMIFS(COMPRAS!CA:CA,COMPRAS!BX:BX,V32,COMPRAS!DD:DD,"SI")</f>
        <v>0</v>
      </c>
      <c r="AF32" s="945"/>
      <c r="AG32" s="945"/>
      <c r="AH32" s="945"/>
      <c r="AI32" s="14"/>
      <c r="AJ32" s="270"/>
    </row>
    <row r="33" spans="1:36" ht="21" customHeight="1" outlineLevel="1" x14ac:dyDescent="0.35">
      <c r="A33" s="1069"/>
      <c r="B33" s="1070"/>
      <c r="C33" s="1071"/>
      <c r="D33" s="15" t="s">
        <v>983</v>
      </c>
      <c r="E33" s="15"/>
      <c r="F33" s="15"/>
      <c r="G33" s="15"/>
      <c r="H33" s="15"/>
      <c r="I33" s="15"/>
      <c r="J33" s="15"/>
      <c r="K33" s="15"/>
      <c r="L33" s="15"/>
      <c r="M33" s="15"/>
      <c r="N33" s="15"/>
      <c r="O33" s="15"/>
      <c r="P33" s="15"/>
      <c r="Q33" s="15"/>
      <c r="R33" s="15"/>
      <c r="S33" s="15"/>
      <c r="T33" s="15"/>
      <c r="U33" s="130"/>
      <c r="V33" s="111">
        <v>310</v>
      </c>
      <c r="W33" s="225" t="s">
        <v>773</v>
      </c>
      <c r="X33" s="944">
        <f>+SUMIFS(COMPRAS!BG:BG,COMPRAS!BF:BF,V33,COMPRAS!DD:DD,"SI")+SUMIFS(COMPRAS!BP:BP,COMPRAS!BO:BO,V33,COMPRAS!DD:DD,"SI")+SUMIFS(COMPRAS!BY:BY,COMPRAS!BX:BX,V33,COMPRAS!DD:DD,"SI")</f>
        <v>0</v>
      </c>
      <c r="Y33" s="945"/>
      <c r="Z33" s="945"/>
      <c r="AA33" s="945"/>
      <c r="AB33" s="130"/>
      <c r="AC33" s="226">
        <v>360</v>
      </c>
      <c r="AD33" s="74" t="s">
        <v>773</v>
      </c>
      <c r="AE33" s="944">
        <f>SUMIFS(COMPRAS!BI:BI,COMPRAS!BF:BF,V33,COMPRAS!DD:DD,"SI")+SUMIFS(COMPRAS!BR:BR,COMPRAS!BO:BO,V33,COMPRAS!DD:DD,"SI")+SUMIFS(COMPRAS!CA:CA,COMPRAS!BX:BX,V33,COMPRAS!DD:DD,"SI")</f>
        <v>0</v>
      </c>
      <c r="AF33" s="945"/>
      <c r="AG33" s="945"/>
      <c r="AH33" s="945"/>
      <c r="AI33" s="14"/>
      <c r="AJ33" s="270"/>
    </row>
    <row r="34" spans="1:36" ht="21" customHeight="1" outlineLevel="1" thickBot="1" x14ac:dyDescent="0.4">
      <c r="A34" s="41" t="s">
        <v>982</v>
      </c>
      <c r="B34" s="37"/>
      <c r="C34" s="37"/>
      <c r="D34" s="37"/>
      <c r="E34" s="15"/>
      <c r="F34" s="15"/>
      <c r="G34" s="15"/>
      <c r="H34" s="15"/>
      <c r="I34" s="15"/>
      <c r="J34" s="15"/>
      <c r="K34" s="15"/>
      <c r="L34" s="15"/>
      <c r="M34" s="15"/>
      <c r="N34" s="15"/>
      <c r="O34" s="15"/>
      <c r="P34" s="15"/>
      <c r="Q34" s="15"/>
      <c r="R34" s="15"/>
      <c r="S34" s="15"/>
      <c r="T34" s="15"/>
      <c r="U34" s="130"/>
      <c r="V34" s="54">
        <v>311</v>
      </c>
      <c r="W34" s="225" t="s">
        <v>773</v>
      </c>
      <c r="X34" s="944">
        <f>+SUMIFS(COMPRAS!BG:BG,COMPRAS!BF:BF,V34,COMPRAS!DD:DD,"SI")+SUMIFS(COMPRAS!BP:BP,COMPRAS!BO:BO,V34,COMPRAS!DD:DD,"SI")+SUMIFS(COMPRAS!BY:BY,COMPRAS!BX:BX,V34,COMPRAS!DD:DD,"SI")</f>
        <v>0</v>
      </c>
      <c r="Y34" s="945"/>
      <c r="Z34" s="945"/>
      <c r="AA34" s="945"/>
      <c r="AB34" s="130"/>
      <c r="AC34" s="226">
        <v>361</v>
      </c>
      <c r="AD34" s="74" t="s">
        <v>773</v>
      </c>
      <c r="AE34" s="944">
        <f>SUMIFS(COMPRAS!BI:BI,COMPRAS!BF:BF,V34,COMPRAS!DD:DD,"SI")+SUMIFS(COMPRAS!BR:BR,COMPRAS!BO:BO,V34,COMPRAS!DD:DD,"SI")+SUMIFS(COMPRAS!CA:CA,COMPRAS!BX:BX,V34,COMPRAS!DD:DD,"SI")</f>
        <v>0</v>
      </c>
      <c r="AF34" s="945"/>
      <c r="AG34" s="945"/>
      <c r="AH34" s="945"/>
      <c r="AI34" s="14"/>
      <c r="AJ34" s="270"/>
    </row>
    <row r="35" spans="1:36" ht="21" customHeight="1" outlineLevel="1" thickBot="1" x14ac:dyDescent="0.4">
      <c r="A35" s="948" t="s">
        <v>2355</v>
      </c>
      <c r="B35" s="949"/>
      <c r="C35" s="949"/>
      <c r="D35" s="949"/>
      <c r="E35" s="949"/>
      <c r="F35" s="949"/>
      <c r="G35" s="949"/>
      <c r="H35" s="949"/>
      <c r="I35" s="949"/>
      <c r="J35" s="949"/>
      <c r="K35" s="949"/>
      <c r="L35" s="949"/>
      <c r="M35" s="949"/>
      <c r="N35" s="949"/>
      <c r="O35" s="949"/>
      <c r="P35" s="949"/>
      <c r="Q35" s="949"/>
      <c r="R35" s="949"/>
      <c r="S35" s="949"/>
      <c r="T35" s="949"/>
      <c r="U35" s="949"/>
      <c r="V35" s="949"/>
      <c r="W35" s="949"/>
      <c r="X35" s="949"/>
      <c r="Y35" s="949"/>
      <c r="Z35" s="949"/>
      <c r="AA35" s="949"/>
      <c r="AB35" s="949"/>
      <c r="AC35" s="949"/>
      <c r="AD35" s="949"/>
      <c r="AE35" s="949"/>
      <c r="AF35" s="949"/>
      <c r="AG35" s="949"/>
      <c r="AH35" s="949"/>
      <c r="AI35" s="950"/>
    </row>
    <row r="36" spans="1:36" ht="21" customHeight="1" outlineLevel="1" x14ac:dyDescent="0.35">
      <c r="A36" s="41" t="s">
        <v>981</v>
      </c>
      <c r="B36" s="37"/>
      <c r="C36" s="37"/>
      <c r="D36" s="37"/>
      <c r="E36" s="15"/>
      <c r="F36" s="15"/>
      <c r="G36" s="15"/>
      <c r="H36" s="15"/>
      <c r="I36" s="15"/>
      <c r="J36" s="15"/>
      <c r="K36" s="15"/>
      <c r="L36" s="15"/>
      <c r="M36" s="15"/>
      <c r="N36" s="15"/>
      <c r="O36" s="15"/>
      <c r="P36" s="15"/>
      <c r="Q36" s="15"/>
      <c r="R36" s="15"/>
      <c r="S36" s="15"/>
      <c r="T36" s="15"/>
      <c r="U36" s="130"/>
      <c r="V36" s="54">
        <v>312</v>
      </c>
      <c r="W36" s="225" t="s">
        <v>773</v>
      </c>
      <c r="X36" s="944">
        <f>SUM(X37:AA37)</f>
        <v>0</v>
      </c>
      <c r="Y36" s="945"/>
      <c r="Z36" s="945"/>
      <c r="AA36" s="945"/>
      <c r="AB36" s="130"/>
      <c r="AC36" s="226">
        <v>362</v>
      </c>
      <c r="AD36" s="74" t="s">
        <v>773</v>
      </c>
      <c r="AE36" s="944">
        <f>SUM(AE37:AH37)</f>
        <v>0</v>
      </c>
      <c r="AF36" s="945"/>
      <c r="AG36" s="945"/>
      <c r="AH36" s="945"/>
      <c r="AI36" s="14"/>
      <c r="AJ36" s="270"/>
    </row>
    <row r="37" spans="1:36" ht="21" hidden="1" customHeight="1" outlineLevel="2" x14ac:dyDescent="0.35">
      <c r="A37" s="247"/>
      <c r="B37" s="37"/>
      <c r="C37" s="37"/>
      <c r="D37" s="37"/>
      <c r="E37" s="15"/>
      <c r="F37" s="15"/>
      <c r="G37" s="15"/>
      <c r="H37" s="15"/>
      <c r="I37" s="15"/>
      <c r="J37" s="15"/>
      <c r="K37" s="15"/>
      <c r="L37" s="15"/>
      <c r="M37" s="15"/>
      <c r="N37" s="15"/>
      <c r="O37" s="15"/>
      <c r="P37" s="15"/>
      <c r="Q37" s="15"/>
      <c r="R37" s="15"/>
      <c r="S37" s="15"/>
      <c r="T37" s="15"/>
      <c r="U37" s="245" t="s">
        <v>96</v>
      </c>
      <c r="V37" s="246">
        <v>312</v>
      </c>
      <c r="W37" s="225"/>
      <c r="X37" s="944">
        <f>+SUMIFS(COMPRAS!BG:BG,COMPRAS!BF:BF,V37,COMPRAS!DD:DD,"SI")+SUMIFS(COMPRAS!BP:BP,COMPRAS!BO:BO,V37,COMPRAS!DD:DD,"SI")+SUMIFS(COMPRAS!BY:BY,COMPRAS!BX:BX,V37,COMPRAS!DD:DD,"SI")</f>
        <v>0</v>
      </c>
      <c r="Y37" s="945"/>
      <c r="Z37" s="945"/>
      <c r="AA37" s="945"/>
      <c r="AB37" s="130"/>
      <c r="AC37" s="226"/>
      <c r="AD37" s="74"/>
      <c r="AE37" s="944">
        <f>SUMIFS(COMPRAS!BI:BI,COMPRAS!BF:BF,V37,COMPRAS!DD:DD,"SI")+SUMIFS(COMPRAS!BR:BR,COMPRAS!BO:BO,V37,COMPRAS!DD:DD,"SI")+SUMIFS(COMPRAS!CA:CA,COMPRAS!BX:BX,V37,COMPRAS!DD:DD,"SI")</f>
        <v>0</v>
      </c>
      <c r="AF37" s="945"/>
      <c r="AG37" s="945"/>
      <c r="AH37" s="945"/>
      <c r="AI37" s="14"/>
    </row>
    <row r="38" spans="1:36" ht="21" customHeight="1" outlineLevel="1" collapsed="1" x14ac:dyDescent="0.35">
      <c r="A38" s="41" t="s">
        <v>943</v>
      </c>
      <c r="B38" s="15"/>
      <c r="C38" s="15"/>
      <c r="D38" s="15"/>
      <c r="E38" s="15"/>
      <c r="F38" s="15"/>
      <c r="G38" s="15"/>
      <c r="H38" s="15"/>
      <c r="I38" s="15"/>
      <c r="J38" s="15"/>
      <c r="K38" s="15"/>
      <c r="L38" s="15"/>
      <c r="M38" s="15"/>
      <c r="N38" s="15"/>
      <c r="O38" s="15"/>
      <c r="P38" s="15"/>
      <c r="Q38" s="15"/>
      <c r="R38" s="15"/>
      <c r="S38" s="15"/>
      <c r="T38" s="15"/>
      <c r="U38" s="130"/>
      <c r="V38" s="54">
        <v>322</v>
      </c>
      <c r="W38" s="225" t="s">
        <v>773</v>
      </c>
      <c r="X38" s="944">
        <f>+SUMIFS(COMPRAS!BG:BG,COMPRAS!BF:BF,V38,COMPRAS!DD:DD,"SI")+SUMIFS(COMPRAS!BP:BP,COMPRAS!BO:BO,V38,COMPRAS!DD:DD,"SI")+SUMIFS(COMPRAS!BY:BY,COMPRAS!BX:BX,V38,COMPRAS!DD:DD,"SI")</f>
        <v>0</v>
      </c>
      <c r="Y38" s="945"/>
      <c r="Z38" s="945"/>
      <c r="AA38" s="945"/>
      <c r="AB38" s="130"/>
      <c r="AC38" s="111">
        <v>372</v>
      </c>
      <c r="AD38" s="74" t="s">
        <v>773</v>
      </c>
      <c r="AE38" s="944">
        <f>SUMIFS(COMPRAS!BI:BI,COMPRAS!BF:BF,V38,COMPRAS!DD:DD,"SI")+SUMIFS(COMPRAS!BR:BR,COMPRAS!BO:BO,V38,COMPRAS!DD:DD,"SI")+SUMIFS(COMPRAS!CA:CA,COMPRAS!BX:BX,V38,COMPRAS!DD:DD,"SI")</f>
        <v>0</v>
      </c>
      <c r="AF38" s="945"/>
      <c r="AG38" s="945"/>
      <c r="AH38" s="945"/>
      <c r="AI38" s="14"/>
      <c r="AJ38" s="270"/>
    </row>
    <row r="39" spans="1:36" ht="21" customHeight="1" outlineLevel="1" x14ac:dyDescent="0.35">
      <c r="A39" s="832" t="s">
        <v>2361</v>
      </c>
      <c r="B39" s="37"/>
      <c r="C39" s="37"/>
      <c r="D39" s="37"/>
      <c r="E39" s="15"/>
      <c r="F39" s="15"/>
      <c r="G39" s="15"/>
      <c r="H39" s="15"/>
      <c r="I39" s="15"/>
      <c r="J39" s="15"/>
      <c r="K39" s="15"/>
      <c r="L39" s="15"/>
      <c r="M39" s="15"/>
      <c r="N39" s="15"/>
      <c r="O39" s="15"/>
      <c r="P39" s="15"/>
      <c r="Q39" s="15"/>
      <c r="R39" s="15"/>
      <c r="S39" s="15"/>
      <c r="T39" s="15"/>
      <c r="U39" s="130"/>
      <c r="V39" s="54">
        <v>3120</v>
      </c>
      <c r="W39" s="225" t="s">
        <v>773</v>
      </c>
      <c r="X39" s="944">
        <f>SUM(X40:AA40)</f>
        <v>0</v>
      </c>
      <c r="Y39" s="945"/>
      <c r="Z39" s="945"/>
      <c r="AA39" s="945"/>
      <c r="AB39" s="130"/>
      <c r="AC39" s="226">
        <v>3620</v>
      </c>
      <c r="AD39" s="74" t="s">
        <v>773</v>
      </c>
      <c r="AE39" s="944">
        <f>SUM(AE40:AH40)</f>
        <v>0</v>
      </c>
      <c r="AF39" s="945"/>
      <c r="AG39" s="945"/>
      <c r="AH39" s="945"/>
      <c r="AI39" s="14"/>
      <c r="AJ39" s="270"/>
    </row>
    <row r="40" spans="1:36" ht="21" hidden="1" customHeight="1" outlineLevel="2" x14ac:dyDescent="0.35">
      <c r="A40" s="247"/>
      <c r="B40" s="37"/>
      <c r="C40" s="37"/>
      <c r="D40" s="37"/>
      <c r="E40" s="15"/>
      <c r="F40" s="15"/>
      <c r="G40" s="15"/>
      <c r="H40" s="15"/>
      <c r="I40" s="15"/>
      <c r="J40" s="15"/>
      <c r="K40" s="15"/>
      <c r="L40" s="15"/>
      <c r="M40" s="15"/>
      <c r="N40" s="15"/>
      <c r="O40" s="15"/>
      <c r="P40" s="15"/>
      <c r="Q40" s="15"/>
      <c r="R40" s="15"/>
      <c r="S40" s="15"/>
      <c r="T40" s="15"/>
      <c r="U40" s="245" t="s">
        <v>2342</v>
      </c>
      <c r="V40" s="246" t="s">
        <v>97</v>
      </c>
      <c r="W40" s="225"/>
      <c r="X40" s="944">
        <f>+SUMIFS(COMPRAS!BG:BG,COMPRAS!BF:BF,V40,COMPRAS!DD:DD,"SI")+SUMIFS(COMPRAS!BP:BP,COMPRAS!BO:BO,V40,COMPRAS!DD:DD,"SI")+SUMIFS(COMPRAS!BY:BY,COMPRAS!BX:BX,V40,COMPRAS!DD:DD,"SI")</f>
        <v>0</v>
      </c>
      <c r="Y40" s="945"/>
      <c r="Z40" s="945"/>
      <c r="AA40" s="945"/>
      <c r="AB40" s="130"/>
      <c r="AC40" s="226"/>
      <c r="AD40" s="74"/>
      <c r="AE40" s="944">
        <f>SUMIFS(COMPRAS!BI:BI,COMPRAS!BF:BF,V40,COMPRAS!DD:DD,"SI")+SUMIFS(COMPRAS!BR:BR,COMPRAS!BO:BO,V40,COMPRAS!DD:DD,"SI")+SUMIFS(COMPRAS!CA:CA,COMPRAS!BX:BX,V40,COMPRAS!DD:DD,"SI")</f>
        <v>0</v>
      </c>
      <c r="AF40" s="945"/>
      <c r="AG40" s="945"/>
      <c r="AH40" s="945"/>
      <c r="AI40" s="14"/>
    </row>
    <row r="41" spans="1:36" ht="21" customHeight="1" outlineLevel="1" collapsed="1" x14ac:dyDescent="0.35">
      <c r="A41" s="832" t="s">
        <v>2360</v>
      </c>
      <c r="B41" s="37"/>
      <c r="C41" s="37"/>
      <c r="D41" s="37"/>
      <c r="E41" s="15"/>
      <c r="F41" s="15"/>
      <c r="G41" s="15"/>
      <c r="H41" s="15"/>
      <c r="I41" s="15"/>
      <c r="J41" s="15"/>
      <c r="K41" s="15"/>
      <c r="L41" s="15"/>
      <c r="M41" s="15"/>
      <c r="N41" s="15"/>
      <c r="O41" s="15"/>
      <c r="P41" s="15"/>
      <c r="Q41" s="15"/>
      <c r="R41" s="15"/>
      <c r="S41" s="15"/>
      <c r="T41" s="15"/>
      <c r="U41" s="130"/>
      <c r="V41" s="54">
        <v>3121</v>
      </c>
      <c r="W41" s="225" t="s">
        <v>773</v>
      </c>
      <c r="X41" s="944">
        <f>SUM(X42:AA42)</f>
        <v>0</v>
      </c>
      <c r="Y41" s="945"/>
      <c r="Z41" s="945"/>
      <c r="AA41" s="945"/>
      <c r="AB41" s="130"/>
      <c r="AC41" s="226">
        <v>3621</v>
      </c>
      <c r="AD41" s="74" t="s">
        <v>773</v>
      </c>
      <c r="AE41" s="944">
        <f>SUM(AE42:AH42)</f>
        <v>0</v>
      </c>
      <c r="AF41" s="945"/>
      <c r="AG41" s="945"/>
      <c r="AH41" s="945"/>
      <c r="AI41" s="14"/>
      <c r="AJ41" s="270"/>
    </row>
    <row r="42" spans="1:36" ht="21" hidden="1" customHeight="1" outlineLevel="2" x14ac:dyDescent="0.35">
      <c r="A42" s="247"/>
      <c r="B42" s="37"/>
      <c r="C42" s="37"/>
      <c r="D42" s="37"/>
      <c r="E42" s="15"/>
      <c r="F42" s="15"/>
      <c r="G42" s="15"/>
      <c r="H42" s="15"/>
      <c r="I42" s="15"/>
      <c r="J42" s="15"/>
      <c r="K42" s="15"/>
      <c r="L42" s="15"/>
      <c r="M42" s="15"/>
      <c r="N42" s="15"/>
      <c r="O42" s="15"/>
      <c r="P42" s="15"/>
      <c r="Q42" s="15"/>
      <c r="R42" s="15"/>
      <c r="S42" s="15"/>
      <c r="T42" s="15"/>
      <c r="U42" s="245" t="s">
        <v>2330</v>
      </c>
      <c r="V42" s="246" t="s">
        <v>2320</v>
      </c>
      <c r="W42" s="225"/>
      <c r="X42" s="944">
        <f>+SUMIFS(COMPRAS!BG:BG,COMPRAS!BF:BF,V42,COMPRAS!DD:DD,"SI")+SUMIFS(COMPRAS!BP:BP,COMPRAS!BO:BO,V42,COMPRAS!DD:DD,"SI")+SUMIFS(COMPRAS!BY:BY,COMPRAS!BX:BX,V42,COMPRAS!DD:DD,"SI")</f>
        <v>0</v>
      </c>
      <c r="Y42" s="945"/>
      <c r="Z42" s="945"/>
      <c r="AA42" s="945"/>
      <c r="AB42" s="130"/>
      <c r="AC42" s="226"/>
      <c r="AD42" s="74"/>
      <c r="AE42" s="944">
        <f>SUMIFS(COMPRAS!BI:BI,COMPRAS!BF:BF,V42,COMPRAS!DD:DD,"SI")+SUMIFS(COMPRAS!BR:BR,COMPRAS!BO:BO,V42,COMPRAS!DD:DD,"SI")+SUMIFS(COMPRAS!CA:CA,COMPRAS!BX:BX,V42,COMPRAS!DD:DD,"SI")</f>
        <v>0</v>
      </c>
      <c r="AF42" s="945"/>
      <c r="AG42" s="945"/>
      <c r="AH42" s="945"/>
      <c r="AI42" s="14"/>
    </row>
    <row r="43" spans="1:36" ht="21" customHeight="1" outlineLevel="1" collapsed="1" x14ac:dyDescent="0.35">
      <c r="A43" s="832" t="s">
        <v>2356</v>
      </c>
      <c r="B43" s="37"/>
      <c r="C43" s="37"/>
      <c r="D43" s="37"/>
      <c r="E43" s="15"/>
      <c r="F43" s="15"/>
      <c r="G43" s="15"/>
      <c r="H43" s="15"/>
      <c r="I43" s="15"/>
      <c r="J43" s="15"/>
      <c r="K43" s="15"/>
      <c r="L43" s="15"/>
      <c r="M43" s="15"/>
      <c r="N43" s="15"/>
      <c r="O43" s="15"/>
      <c r="P43" s="15"/>
      <c r="Q43" s="15"/>
      <c r="R43" s="15"/>
      <c r="S43" s="15"/>
      <c r="T43" s="15"/>
      <c r="U43" s="130"/>
      <c r="V43" s="54">
        <v>3430</v>
      </c>
      <c r="W43" s="225" t="s">
        <v>773</v>
      </c>
      <c r="X43" s="944">
        <f>SUM(X44:AA44)</f>
        <v>0</v>
      </c>
      <c r="Y43" s="945"/>
      <c r="Z43" s="945"/>
      <c r="AA43" s="945"/>
      <c r="AB43" s="130"/>
      <c r="AC43" s="226">
        <v>3450</v>
      </c>
      <c r="AD43" s="74" t="s">
        <v>773</v>
      </c>
      <c r="AE43" s="944">
        <f>SUM(AE44:AH44)</f>
        <v>0</v>
      </c>
      <c r="AF43" s="945"/>
      <c r="AG43" s="945"/>
      <c r="AH43" s="945"/>
      <c r="AI43" s="14"/>
      <c r="AJ43" s="270"/>
    </row>
    <row r="44" spans="1:36" ht="21" hidden="1" customHeight="1" outlineLevel="2" x14ac:dyDescent="0.35">
      <c r="A44" s="247"/>
      <c r="B44" s="37"/>
      <c r="C44" s="37"/>
      <c r="D44" s="37"/>
      <c r="E44" s="15"/>
      <c r="F44" s="15"/>
      <c r="G44" s="15"/>
      <c r="H44" s="15"/>
      <c r="I44" s="15"/>
      <c r="J44" s="15"/>
      <c r="K44" s="15"/>
      <c r="L44" s="15"/>
      <c r="M44" s="15"/>
      <c r="N44" s="15"/>
      <c r="O44" s="15"/>
      <c r="P44" s="15"/>
      <c r="Q44" s="15"/>
      <c r="R44" s="15"/>
      <c r="S44" s="15"/>
      <c r="T44" s="15"/>
      <c r="U44" s="229" t="s">
        <v>171</v>
      </c>
      <c r="V44" s="228" t="s">
        <v>170</v>
      </c>
      <c r="W44" s="225"/>
      <c r="X44" s="944">
        <f>+SUMIFS(COMPRAS!BG:BG,COMPRAS!BF:BF,V44,COMPRAS!DD:DD,"SI")+SUMIFS(COMPRAS!BP:BP,COMPRAS!BO:BO,V44,COMPRAS!DD:DD,"SI")+SUMIFS(COMPRAS!BY:BY,COMPRAS!BX:BX,V44,COMPRAS!DD:DD,"SI")</f>
        <v>0</v>
      </c>
      <c r="Y44" s="945"/>
      <c r="Z44" s="945"/>
      <c r="AA44" s="945"/>
      <c r="AB44" s="130"/>
      <c r="AC44" s="226"/>
      <c r="AD44" s="74"/>
      <c r="AE44" s="944">
        <f>SUMIFS(COMPRAS!BI:BI,COMPRAS!BF:BF,V44,COMPRAS!DD:DD,"SI")+SUMIFS(COMPRAS!BR:BR,COMPRAS!BO:BO,V44,COMPRAS!DD:DD,"SI")+SUMIFS(COMPRAS!CA:CA,COMPRAS!BX:BX,V44,COMPRAS!DD:DD,"SI")</f>
        <v>0</v>
      </c>
      <c r="AF44" s="945"/>
      <c r="AG44" s="945"/>
      <c r="AH44" s="945"/>
      <c r="AI44" s="14"/>
    </row>
    <row r="45" spans="1:36" ht="21" customHeight="1" outlineLevel="1" collapsed="1" x14ac:dyDescent="0.35">
      <c r="A45" s="832" t="s">
        <v>2358</v>
      </c>
      <c r="B45" s="37"/>
      <c r="C45" s="37"/>
      <c r="D45" s="37"/>
      <c r="E45" s="37"/>
      <c r="F45" s="37"/>
      <c r="G45" s="37"/>
      <c r="H45" s="37"/>
      <c r="I45" s="37"/>
      <c r="J45" s="37"/>
      <c r="K45" s="37"/>
      <c r="L45" s="37"/>
      <c r="M45" s="37"/>
      <c r="N45" s="37"/>
      <c r="O45" s="37"/>
      <c r="P45" s="37"/>
      <c r="Q45" s="37"/>
      <c r="R45" s="37"/>
      <c r="S45" s="37"/>
      <c r="T45" s="37"/>
      <c r="U45" s="242"/>
      <c r="V45" s="54">
        <v>343</v>
      </c>
      <c r="W45" s="53" t="s">
        <v>773</v>
      </c>
      <c r="X45" s="944">
        <f>SUM(X46:AA48)</f>
        <v>0</v>
      </c>
      <c r="Y45" s="945"/>
      <c r="Z45" s="945"/>
      <c r="AA45" s="945"/>
      <c r="AB45" s="130"/>
      <c r="AC45" s="226">
        <v>393</v>
      </c>
      <c r="AD45" s="74" t="s">
        <v>773</v>
      </c>
      <c r="AE45" s="944">
        <f>SUM(AE46:AH48)</f>
        <v>0</v>
      </c>
      <c r="AF45" s="945"/>
      <c r="AG45" s="945"/>
      <c r="AH45" s="945"/>
      <c r="AI45" s="14"/>
      <c r="AJ45" s="270"/>
    </row>
    <row r="46" spans="1:36" ht="21" hidden="1" customHeight="1" outlineLevel="2" x14ac:dyDescent="0.35">
      <c r="A46" s="832"/>
      <c r="B46" s="37"/>
      <c r="C46" s="37"/>
      <c r="D46" s="37"/>
      <c r="E46" s="37"/>
      <c r="F46" s="37"/>
      <c r="G46" s="37"/>
      <c r="H46" s="37"/>
      <c r="I46" s="37"/>
      <c r="J46" s="37"/>
      <c r="K46" s="37"/>
      <c r="L46" s="37"/>
      <c r="M46" s="37"/>
      <c r="N46" s="37"/>
      <c r="O46" s="37"/>
      <c r="P46" s="37"/>
      <c r="Q46" s="37"/>
      <c r="R46" s="37"/>
      <c r="S46" s="37"/>
      <c r="T46" s="37"/>
      <c r="U46" s="229" t="s">
        <v>1054</v>
      </c>
      <c r="V46" s="228">
        <v>343</v>
      </c>
      <c r="W46" s="74"/>
      <c r="X46" s="944">
        <f>+SUMIFS(COMPRAS!BG:BG,COMPRAS!BF:BF,V46,COMPRAS!DD:DD,"SI")+SUMIFS(COMPRAS!BP:BP,COMPRAS!BO:BO,V46,COMPRAS!DD:DD,"SI")+SUMIFS(COMPRAS!BY:BY,COMPRAS!BX:BX,V46,COMPRAS!DD:DD,"SI")</f>
        <v>0</v>
      </c>
      <c r="Y46" s="945"/>
      <c r="Z46" s="945"/>
      <c r="AA46" s="945"/>
      <c r="AB46" s="130"/>
      <c r="AC46" s="226"/>
      <c r="AD46" s="74"/>
      <c r="AE46" s="944">
        <f>SUMIFS(COMPRAS!BI:BI,COMPRAS!BF:BF,V46,COMPRAS!DD:DD,"SI")+SUMIFS(COMPRAS!BR:BR,COMPRAS!BO:BO,V46,COMPRAS!DD:DD,"SI")+SUMIFS(COMPRAS!CA:CA,COMPRAS!BX:BX,V46,COMPRAS!DD:DD,"SI")</f>
        <v>0</v>
      </c>
      <c r="AF46" s="945"/>
      <c r="AG46" s="945"/>
      <c r="AH46" s="945"/>
      <c r="AI46" s="14"/>
    </row>
    <row r="47" spans="1:36" ht="21" hidden="1" customHeight="1" outlineLevel="2" x14ac:dyDescent="0.35">
      <c r="A47" s="832"/>
      <c r="B47" s="37"/>
      <c r="C47" s="37"/>
      <c r="D47" s="37"/>
      <c r="E47" s="37"/>
      <c r="F47" s="37"/>
      <c r="G47" s="37"/>
      <c r="H47" s="37"/>
      <c r="I47" s="37"/>
      <c r="J47" s="37"/>
      <c r="K47" s="37"/>
      <c r="L47" s="37"/>
      <c r="M47" s="37"/>
      <c r="N47" s="37"/>
      <c r="O47" s="37"/>
      <c r="P47" s="37"/>
      <c r="Q47" s="37"/>
      <c r="R47" s="37"/>
      <c r="S47" s="37"/>
      <c r="T47" s="37"/>
      <c r="U47" s="229" t="s">
        <v>169</v>
      </c>
      <c r="V47" s="228" t="s">
        <v>168</v>
      </c>
      <c r="W47" s="74"/>
      <c r="X47" s="944">
        <f>+SUMIFS(COMPRAS!BG:BG,COMPRAS!BF:BF,V47,COMPRAS!DD:DD,"SI")+SUMIFS(COMPRAS!BP:BP,COMPRAS!BO:BO,V47,COMPRAS!DD:DD,"SI")+SUMIFS(COMPRAS!BY:BY,COMPRAS!BX:BX,V47,COMPRAS!DD:DD,"SI")</f>
        <v>0</v>
      </c>
      <c r="Y47" s="945"/>
      <c r="Z47" s="945"/>
      <c r="AA47" s="945"/>
      <c r="AB47" s="130"/>
      <c r="AC47" s="226"/>
      <c r="AD47" s="74"/>
      <c r="AE47" s="944">
        <f>SUMIFS(COMPRAS!BI:BI,COMPRAS!BF:BF,V47,COMPRAS!DD:DD,"SI")+SUMIFS(COMPRAS!BR:BR,COMPRAS!BO:BO,V47,COMPRAS!DD:DD,"SI")+SUMIFS(COMPRAS!CA:CA,COMPRAS!BX:BX,V47,COMPRAS!DD:DD,"SI")</f>
        <v>0</v>
      </c>
      <c r="AF47" s="945"/>
      <c r="AG47" s="945"/>
      <c r="AH47" s="945"/>
      <c r="AI47" s="14"/>
    </row>
    <row r="48" spans="1:36" ht="21" hidden="1" customHeight="1" outlineLevel="2" x14ac:dyDescent="0.35">
      <c r="A48" s="832"/>
      <c r="B48" s="37"/>
      <c r="C48" s="37"/>
      <c r="D48" s="37"/>
      <c r="E48" s="37"/>
      <c r="F48" s="37"/>
      <c r="G48" s="37"/>
      <c r="H48" s="37"/>
      <c r="I48" s="37"/>
      <c r="J48" s="37"/>
      <c r="K48" s="37"/>
      <c r="L48" s="37"/>
      <c r="M48" s="37"/>
      <c r="N48" s="37"/>
      <c r="O48" s="37"/>
      <c r="P48" s="37"/>
      <c r="Q48" s="37"/>
      <c r="R48" s="37"/>
      <c r="S48" s="37"/>
      <c r="T48" s="37"/>
      <c r="U48" s="229" t="s">
        <v>1056</v>
      </c>
      <c r="V48" s="228" t="s">
        <v>1055</v>
      </c>
      <c r="W48" s="74"/>
      <c r="X48" s="944">
        <f>+SUMIFS(COMPRAS!BG:BG,COMPRAS!BF:BF,V48,COMPRAS!DD:DD,"SI")+SUMIFS(COMPRAS!BP:BP,COMPRAS!BO:BO,V48,COMPRAS!DD:DD,"SI")+SUMIFS(COMPRAS!BY:BY,COMPRAS!BX:BX,V48,COMPRAS!DD:DD,"SI")</f>
        <v>0</v>
      </c>
      <c r="Y48" s="945"/>
      <c r="Z48" s="945"/>
      <c r="AA48" s="945"/>
      <c r="AB48" s="130"/>
      <c r="AC48" s="226"/>
      <c r="AD48" s="74"/>
      <c r="AE48" s="944">
        <f>SUMIFS(COMPRAS!BI:BI,COMPRAS!BF:BF,V48,COMPRAS!DD:DD,"SI")+SUMIFS(COMPRAS!BR:BR,COMPRAS!BO:BO,V48,COMPRAS!DD:DD,"SI")+SUMIFS(COMPRAS!CA:CA,COMPRAS!BX:BX,V48,COMPRAS!DD:DD,"SI")</f>
        <v>0</v>
      </c>
      <c r="AF48" s="945"/>
      <c r="AG48" s="945"/>
      <c r="AH48" s="945"/>
      <c r="AI48" s="14"/>
    </row>
    <row r="49" spans="1:36" ht="21" customHeight="1" outlineLevel="1" collapsed="1" x14ac:dyDescent="0.35">
      <c r="A49" s="832" t="s">
        <v>2357</v>
      </c>
      <c r="B49" s="37"/>
      <c r="C49" s="37"/>
      <c r="D49" s="37"/>
      <c r="E49" s="37"/>
      <c r="F49" s="37"/>
      <c r="G49" s="37"/>
      <c r="H49" s="37"/>
      <c r="I49" s="37"/>
      <c r="J49" s="37"/>
      <c r="K49" s="37"/>
      <c r="L49" s="37"/>
      <c r="M49" s="37"/>
      <c r="N49" s="37"/>
      <c r="O49" s="37"/>
      <c r="P49" s="37"/>
      <c r="Q49" s="37"/>
      <c r="R49" s="37"/>
      <c r="S49" s="37"/>
      <c r="T49" s="37"/>
      <c r="U49" s="242"/>
      <c r="V49" s="54">
        <v>344</v>
      </c>
      <c r="W49" s="74" t="s">
        <v>773</v>
      </c>
      <c r="X49" s="944">
        <f>SUM(X50:AA52)</f>
        <v>0</v>
      </c>
      <c r="Y49" s="945"/>
      <c r="Z49" s="945"/>
      <c r="AA49" s="945"/>
      <c r="AB49" s="130"/>
      <c r="AC49" s="111">
        <v>394</v>
      </c>
      <c r="AD49" s="74" t="s">
        <v>773</v>
      </c>
      <c r="AE49" s="944">
        <f>SUM(AE50:AH52)</f>
        <v>0</v>
      </c>
      <c r="AF49" s="945"/>
      <c r="AG49" s="945"/>
      <c r="AH49" s="945"/>
      <c r="AI49" s="14"/>
      <c r="AJ49" s="270"/>
    </row>
    <row r="50" spans="1:36" ht="21" hidden="1" customHeight="1" outlineLevel="2" x14ac:dyDescent="0.35">
      <c r="A50" s="832"/>
      <c r="B50" s="37"/>
      <c r="C50" s="37"/>
      <c r="D50" s="37"/>
      <c r="E50" s="37"/>
      <c r="F50" s="37"/>
      <c r="G50" s="37"/>
      <c r="H50" s="37"/>
      <c r="I50" s="37"/>
      <c r="J50" s="37"/>
      <c r="K50" s="37"/>
      <c r="L50" s="37"/>
      <c r="M50" s="37"/>
      <c r="N50" s="37"/>
      <c r="O50" s="37"/>
      <c r="P50" s="37"/>
      <c r="Q50" s="37"/>
      <c r="R50" s="37"/>
      <c r="S50" s="37"/>
      <c r="T50" s="37"/>
      <c r="U50" s="229" t="s">
        <v>172</v>
      </c>
      <c r="V50" s="228">
        <v>344</v>
      </c>
      <c r="W50" s="74"/>
      <c r="X50" s="944">
        <f>+SUMIFS(COMPRAS!BG:BG,COMPRAS!BF:BF,V50,COMPRAS!DD:DD,"SI")+SUMIFS(COMPRAS!BP:BP,COMPRAS!BO:BO,V50,COMPRAS!DD:DD,"SI")+SUMIFS(COMPRAS!BY:BY,COMPRAS!BX:BX,V50,COMPRAS!DD:DD,"SI")</f>
        <v>0</v>
      </c>
      <c r="Y50" s="945"/>
      <c r="Z50" s="945"/>
      <c r="AA50" s="945"/>
      <c r="AB50" s="130"/>
      <c r="AC50" s="226"/>
      <c r="AD50" s="74"/>
      <c r="AE50" s="944">
        <f>SUMIFS(COMPRAS!BI:BI,COMPRAS!BF:BF,V50,COMPRAS!DD:DD,"SI")+SUMIFS(COMPRAS!BR:BR,COMPRAS!BO:BO,V50,COMPRAS!DD:DD,"SI")+SUMIFS(COMPRAS!CA:CA,COMPRAS!BX:BX,V50,COMPRAS!DD:DD,"SI")</f>
        <v>0</v>
      </c>
      <c r="AF50" s="945"/>
      <c r="AG50" s="945"/>
      <c r="AH50" s="945"/>
      <c r="AI50" s="14"/>
    </row>
    <row r="51" spans="1:36" ht="21" hidden="1" customHeight="1" outlineLevel="2" x14ac:dyDescent="0.35">
      <c r="A51" s="832"/>
      <c r="B51" s="37"/>
      <c r="C51" s="37"/>
      <c r="D51" s="37"/>
      <c r="E51" s="37"/>
      <c r="F51" s="37"/>
      <c r="G51" s="37"/>
      <c r="H51" s="37"/>
      <c r="I51" s="37"/>
      <c r="J51" s="37"/>
      <c r="K51" s="37"/>
      <c r="L51" s="37"/>
      <c r="M51" s="37"/>
      <c r="N51" s="37"/>
      <c r="O51" s="37"/>
      <c r="P51" s="37"/>
      <c r="Q51" s="37"/>
      <c r="R51" s="37"/>
      <c r="S51" s="37"/>
      <c r="T51" s="37"/>
      <c r="U51" s="229" t="s">
        <v>174</v>
      </c>
      <c r="V51" s="228" t="s">
        <v>173</v>
      </c>
      <c r="W51" s="74"/>
      <c r="X51" s="944">
        <f>+SUMIFS(COMPRAS!BG:BG,COMPRAS!BF:BF,V51,COMPRAS!DD:DD,"SI")+SUMIFS(COMPRAS!BP:BP,COMPRAS!BO:BO,V51,COMPRAS!DD:DD,"SI")+SUMIFS(COMPRAS!BY:BY,COMPRAS!BX:BX,V51,COMPRAS!DD:DD,"SI")</f>
        <v>0</v>
      </c>
      <c r="Y51" s="945"/>
      <c r="Z51" s="945"/>
      <c r="AA51" s="945"/>
      <c r="AB51" s="130"/>
      <c r="AC51" s="226"/>
      <c r="AD51" s="74"/>
      <c r="AE51" s="944">
        <f>SUMIFS(COMPRAS!BI:BI,COMPRAS!BF:BF,V51,COMPRAS!DD:DD,"SI")+SUMIFS(COMPRAS!BR:BR,COMPRAS!BO:BO,V51,COMPRAS!DD:DD,"SI")+SUMIFS(COMPRAS!CA:CA,COMPRAS!BX:BX,V51,COMPRAS!DD:DD,"SI")</f>
        <v>0</v>
      </c>
      <c r="AF51" s="945"/>
      <c r="AG51" s="945"/>
      <c r="AH51" s="945"/>
      <c r="AI51" s="14"/>
    </row>
    <row r="52" spans="1:36" ht="21" hidden="1" customHeight="1" outlineLevel="2" x14ac:dyDescent="0.35">
      <c r="A52" s="832"/>
      <c r="B52" s="37"/>
      <c r="C52" s="37"/>
      <c r="D52" s="37"/>
      <c r="E52" s="37"/>
      <c r="F52" s="37"/>
      <c r="G52" s="37"/>
      <c r="H52" s="37"/>
      <c r="I52" s="37"/>
      <c r="J52" s="37"/>
      <c r="K52" s="37"/>
      <c r="L52" s="37"/>
      <c r="M52" s="37"/>
      <c r="N52" s="37"/>
      <c r="O52" s="37"/>
      <c r="P52" s="37"/>
      <c r="Q52" s="37"/>
      <c r="R52" s="37"/>
      <c r="S52" s="37"/>
      <c r="T52" s="37"/>
      <c r="U52" s="229" t="s">
        <v>1058</v>
      </c>
      <c r="V52" s="228" t="s">
        <v>1057</v>
      </c>
      <c r="W52" s="74"/>
      <c r="X52" s="944">
        <f>+SUMIFS(COMPRAS!BG:BG,COMPRAS!BF:BF,V52,COMPRAS!DD:DD,"SI")+SUMIFS(COMPRAS!BP:BP,COMPRAS!BO:BO,V52,COMPRAS!DD:DD,"SI")+SUMIFS(COMPRAS!BY:BY,COMPRAS!BX:BX,V52,COMPRAS!DD:DD,"SI")</f>
        <v>0</v>
      </c>
      <c r="Y52" s="945"/>
      <c r="Z52" s="945"/>
      <c r="AA52" s="945"/>
      <c r="AB52" s="130"/>
      <c r="AC52" s="226"/>
      <c r="AD52" s="74"/>
      <c r="AE52" s="944">
        <f>SUMIFS(COMPRAS!BI:BI,COMPRAS!BF:BF,V52,COMPRAS!DD:DD,"SI")+SUMIFS(COMPRAS!BR:BR,COMPRAS!BO:BO,V52,COMPRAS!DD:DD,"SI")+SUMIFS(COMPRAS!CA:CA,COMPRAS!BX:BX,V52,COMPRAS!DD:DD,"SI")</f>
        <v>0</v>
      </c>
      <c r="AF52" s="945"/>
      <c r="AG52" s="945"/>
      <c r="AH52" s="945"/>
      <c r="AI52" s="14"/>
    </row>
    <row r="53" spans="1:36" ht="21" customHeight="1" outlineLevel="1" collapsed="1" thickBot="1" x14ac:dyDescent="0.4">
      <c r="A53" s="248" t="s">
        <v>2359</v>
      </c>
      <c r="B53" s="37"/>
      <c r="C53" s="37"/>
      <c r="D53" s="37"/>
      <c r="E53" s="37"/>
      <c r="F53" s="37"/>
      <c r="G53" s="37"/>
      <c r="H53" s="37"/>
      <c r="I53" s="37"/>
      <c r="J53" s="37"/>
      <c r="K53" s="37"/>
      <c r="L53" s="37"/>
      <c r="M53" s="37"/>
      <c r="N53" s="37"/>
      <c r="O53" s="37"/>
      <c r="P53" s="37"/>
      <c r="Q53" s="37"/>
      <c r="R53" s="37"/>
      <c r="S53" s="37"/>
      <c r="T53" s="37"/>
      <c r="U53" s="242"/>
      <c r="V53" s="52">
        <v>332</v>
      </c>
      <c r="W53" s="225" t="s">
        <v>773</v>
      </c>
      <c r="X53" s="944">
        <f>SUM(X54:AA62)</f>
        <v>0</v>
      </c>
      <c r="Y53" s="945"/>
      <c r="Z53" s="945"/>
      <c r="AA53" s="945"/>
      <c r="AB53" s="130"/>
      <c r="AC53" s="951"/>
      <c r="AD53" s="952"/>
      <c r="AE53" s="952"/>
      <c r="AF53" s="952"/>
      <c r="AG53" s="952"/>
      <c r="AH53" s="952"/>
      <c r="AI53" s="953"/>
    </row>
    <row r="54" spans="1:36" ht="21" hidden="1" customHeight="1" outlineLevel="2" x14ac:dyDescent="0.35">
      <c r="A54" s="41"/>
      <c r="B54" s="15"/>
      <c r="C54" s="15"/>
      <c r="D54" s="15"/>
      <c r="E54" s="15"/>
      <c r="F54" s="15"/>
      <c r="G54" s="15"/>
      <c r="H54" s="15"/>
      <c r="I54" s="15"/>
      <c r="J54" s="15"/>
      <c r="K54" s="15"/>
      <c r="L54" s="15"/>
      <c r="M54" s="15"/>
      <c r="N54" s="15"/>
      <c r="O54" s="15"/>
      <c r="P54" s="15"/>
      <c r="Q54" s="15"/>
      <c r="R54" s="15"/>
      <c r="S54" s="15"/>
      <c r="T54" s="15"/>
      <c r="U54" s="245" t="s">
        <v>147</v>
      </c>
      <c r="V54" s="246">
        <v>332</v>
      </c>
      <c r="W54" s="225"/>
      <c r="X54" s="944">
        <f>+SUMIFS(COMPRAS!BG:BG,COMPRAS!BF:BF,V54,COMPRAS!DD:DD,"SI")+SUMIFS(COMPRAS!BP:BP,COMPRAS!BO:BO,V54,COMPRAS!DD:DD,"SI")+SUMIFS(COMPRAS!BY:BY,COMPRAS!BX:BX,V54,COMPRAS!DD:DD,"SI")</f>
        <v>0</v>
      </c>
      <c r="Y54" s="945"/>
      <c r="Z54" s="945"/>
      <c r="AA54" s="945"/>
      <c r="AB54" s="130"/>
      <c r="AC54" s="962"/>
      <c r="AD54" s="963"/>
      <c r="AE54" s="963"/>
      <c r="AF54" s="963"/>
      <c r="AG54" s="963"/>
      <c r="AH54" s="963"/>
      <c r="AI54" s="964"/>
    </row>
    <row r="55" spans="1:36" ht="21" hidden="1" customHeight="1" outlineLevel="2" x14ac:dyDescent="0.35">
      <c r="A55" s="41"/>
      <c r="B55" s="15"/>
      <c r="C55" s="15"/>
      <c r="D55" s="15"/>
      <c r="E55" s="15"/>
      <c r="F55" s="15"/>
      <c r="G55" s="15"/>
      <c r="H55" s="15"/>
      <c r="I55" s="15"/>
      <c r="J55" s="15"/>
      <c r="K55" s="15"/>
      <c r="L55" s="15"/>
      <c r="M55" s="15"/>
      <c r="N55" s="15"/>
      <c r="O55" s="15"/>
      <c r="P55" s="15"/>
      <c r="Q55" s="15"/>
      <c r="R55" s="15"/>
      <c r="S55" s="15"/>
      <c r="T55" s="15"/>
      <c r="U55" s="245" t="s">
        <v>149</v>
      </c>
      <c r="V55" s="246" t="s">
        <v>148</v>
      </c>
      <c r="W55" s="225"/>
      <c r="X55" s="944">
        <f>+SUMIFS(COMPRAS!BG:BG,COMPRAS!BF:BF,V55,COMPRAS!DD:DD,"SI")+SUMIFS(COMPRAS!BP:BP,COMPRAS!BO:BO,V55,COMPRAS!DD:DD,"SI")+SUMIFS(COMPRAS!BY:BY,COMPRAS!BX:BX,V55,COMPRAS!DD:DD,"SI")</f>
        <v>0</v>
      </c>
      <c r="Y55" s="945"/>
      <c r="Z55" s="945"/>
      <c r="AA55" s="945"/>
      <c r="AB55" s="130"/>
      <c r="AC55" s="962"/>
      <c r="AD55" s="963"/>
      <c r="AE55" s="963"/>
      <c r="AF55" s="963"/>
      <c r="AG55" s="963"/>
      <c r="AH55" s="963"/>
      <c r="AI55" s="964"/>
    </row>
    <row r="56" spans="1:36" ht="21" hidden="1" customHeight="1" outlineLevel="2" x14ac:dyDescent="0.35">
      <c r="A56" s="41"/>
      <c r="B56" s="15"/>
      <c r="C56" s="15"/>
      <c r="D56" s="15"/>
      <c r="E56" s="15"/>
      <c r="F56" s="15"/>
      <c r="G56" s="15"/>
      <c r="H56" s="15"/>
      <c r="I56" s="15"/>
      <c r="J56" s="15"/>
      <c r="K56" s="15"/>
      <c r="L56" s="15"/>
      <c r="M56" s="15"/>
      <c r="N56" s="15"/>
      <c r="O56" s="15"/>
      <c r="P56" s="15"/>
      <c r="Q56" s="15"/>
      <c r="R56" s="15"/>
      <c r="S56" s="15"/>
      <c r="T56" s="15"/>
      <c r="U56" s="245" t="s">
        <v>151</v>
      </c>
      <c r="V56" s="246" t="s">
        <v>150</v>
      </c>
      <c r="W56" s="225"/>
      <c r="X56" s="944">
        <f>+SUMIFS(COMPRAS!BG:BG,COMPRAS!BF:BF,V56,COMPRAS!DD:DD,"SI")+SUMIFS(COMPRAS!BP:BP,COMPRAS!BO:BO,V56,COMPRAS!DD:DD,"SI")+SUMIFS(COMPRAS!BY:BY,COMPRAS!BX:BX,V56,COMPRAS!DD:DD,"SI")</f>
        <v>0</v>
      </c>
      <c r="Y56" s="945"/>
      <c r="Z56" s="945"/>
      <c r="AA56" s="945"/>
      <c r="AB56" s="130"/>
      <c r="AC56" s="962"/>
      <c r="AD56" s="963"/>
      <c r="AE56" s="963"/>
      <c r="AF56" s="963"/>
      <c r="AG56" s="963"/>
      <c r="AH56" s="963"/>
      <c r="AI56" s="964"/>
    </row>
    <row r="57" spans="1:36" ht="21" hidden="1" customHeight="1" outlineLevel="2" x14ac:dyDescent="0.35">
      <c r="A57" s="41"/>
      <c r="B57" s="15"/>
      <c r="C57" s="15"/>
      <c r="D57" s="15"/>
      <c r="E57" s="15"/>
      <c r="F57" s="15"/>
      <c r="G57" s="15"/>
      <c r="H57" s="15"/>
      <c r="I57" s="15"/>
      <c r="J57" s="15"/>
      <c r="K57" s="15"/>
      <c r="L57" s="15"/>
      <c r="M57" s="15"/>
      <c r="N57" s="15"/>
      <c r="O57" s="15"/>
      <c r="P57" s="15"/>
      <c r="Q57" s="15"/>
      <c r="R57" s="15"/>
      <c r="S57" s="15"/>
      <c r="T57" s="15"/>
      <c r="U57" s="245" t="s">
        <v>153</v>
      </c>
      <c r="V57" s="246" t="s">
        <v>152</v>
      </c>
      <c r="W57" s="225"/>
      <c r="X57" s="944">
        <f>+SUMIFS(COMPRAS!BG:BG,COMPRAS!BF:BF,V57,COMPRAS!DD:DD,"SI")+SUMIFS(COMPRAS!BP:BP,COMPRAS!BO:BO,V57,COMPRAS!DD:DD,"SI")+SUMIFS(COMPRAS!BY:BY,COMPRAS!BX:BX,V57,COMPRAS!DD:DD,"SI")</f>
        <v>0</v>
      </c>
      <c r="Y57" s="945"/>
      <c r="Z57" s="945"/>
      <c r="AA57" s="945"/>
      <c r="AB57" s="130"/>
      <c r="AC57" s="962"/>
      <c r="AD57" s="963"/>
      <c r="AE57" s="963"/>
      <c r="AF57" s="963"/>
      <c r="AG57" s="963"/>
      <c r="AH57" s="963"/>
      <c r="AI57" s="964"/>
    </row>
    <row r="58" spans="1:36" ht="21" hidden="1" customHeight="1" outlineLevel="2" x14ac:dyDescent="0.35">
      <c r="A58" s="41"/>
      <c r="B58" s="15"/>
      <c r="C58" s="15"/>
      <c r="D58" s="15"/>
      <c r="E58" s="15"/>
      <c r="F58" s="15"/>
      <c r="G58" s="15"/>
      <c r="H58" s="15"/>
      <c r="I58" s="15"/>
      <c r="J58" s="15"/>
      <c r="K58" s="15"/>
      <c r="L58" s="15"/>
      <c r="M58" s="15"/>
      <c r="N58" s="15"/>
      <c r="O58" s="15"/>
      <c r="P58" s="15"/>
      <c r="Q58" s="15"/>
      <c r="R58" s="15"/>
      <c r="S58" s="15"/>
      <c r="T58" s="15"/>
      <c r="U58" s="245" t="s">
        <v>155</v>
      </c>
      <c r="V58" s="246" t="s">
        <v>154</v>
      </c>
      <c r="W58" s="225"/>
      <c r="X58" s="944">
        <f>+SUMIFS(COMPRAS!BG:BG,COMPRAS!BF:BF,V58,COMPRAS!DD:DD,"SI")+SUMIFS(COMPRAS!BP:BP,COMPRAS!BO:BO,V58,COMPRAS!DD:DD,"SI")+SUMIFS(COMPRAS!BY:BY,COMPRAS!BX:BX,V58,COMPRAS!DD:DD,"SI")</f>
        <v>0</v>
      </c>
      <c r="Y58" s="945"/>
      <c r="Z58" s="945"/>
      <c r="AA58" s="945"/>
      <c r="AB58" s="130"/>
      <c r="AC58" s="962"/>
      <c r="AD58" s="963"/>
      <c r="AE58" s="963"/>
      <c r="AF58" s="963"/>
      <c r="AG58" s="963"/>
      <c r="AH58" s="963"/>
      <c r="AI58" s="964"/>
    </row>
    <row r="59" spans="1:36" ht="21" hidden="1" customHeight="1" outlineLevel="2" x14ac:dyDescent="0.35">
      <c r="A59" s="41"/>
      <c r="B59" s="15"/>
      <c r="C59" s="15"/>
      <c r="D59" s="15"/>
      <c r="E59" s="15"/>
      <c r="F59" s="15"/>
      <c r="G59" s="15"/>
      <c r="H59" s="15"/>
      <c r="I59" s="15"/>
      <c r="J59" s="15"/>
      <c r="K59" s="15"/>
      <c r="L59" s="15"/>
      <c r="M59" s="15"/>
      <c r="N59" s="15"/>
      <c r="O59" s="15"/>
      <c r="P59" s="15"/>
      <c r="Q59" s="15"/>
      <c r="R59" s="15"/>
      <c r="S59" s="15"/>
      <c r="T59" s="15"/>
      <c r="U59" s="245" t="s">
        <v>157</v>
      </c>
      <c r="V59" s="246" t="s">
        <v>156</v>
      </c>
      <c r="W59" s="225"/>
      <c r="X59" s="944">
        <f>+SUMIFS(COMPRAS!BG:BG,COMPRAS!BF:BF,V59,COMPRAS!DD:DD,"SI")+SUMIFS(COMPRAS!BP:BP,COMPRAS!BO:BO,V59,COMPRAS!DD:DD,"SI")+SUMIFS(COMPRAS!BY:BY,COMPRAS!BX:BX,V59,COMPRAS!DD:DD,"SI")</f>
        <v>0</v>
      </c>
      <c r="Y59" s="945"/>
      <c r="Z59" s="945"/>
      <c r="AA59" s="945"/>
      <c r="AB59" s="130"/>
      <c r="AC59" s="962"/>
      <c r="AD59" s="963"/>
      <c r="AE59" s="963"/>
      <c r="AF59" s="963"/>
      <c r="AG59" s="963"/>
      <c r="AH59" s="963"/>
      <c r="AI59" s="964"/>
    </row>
    <row r="60" spans="1:36" ht="21" hidden="1" customHeight="1" outlineLevel="2" x14ac:dyDescent="0.35">
      <c r="A60" s="41"/>
      <c r="B60" s="15"/>
      <c r="C60" s="15"/>
      <c r="D60" s="15"/>
      <c r="E60" s="15"/>
      <c r="F60" s="15"/>
      <c r="G60" s="15"/>
      <c r="H60" s="15"/>
      <c r="I60" s="15"/>
      <c r="J60" s="15"/>
      <c r="K60" s="15"/>
      <c r="L60" s="15"/>
      <c r="M60" s="15"/>
      <c r="N60" s="15"/>
      <c r="O60" s="15"/>
      <c r="P60" s="15"/>
      <c r="Q60" s="15"/>
      <c r="R60" s="15"/>
      <c r="S60" s="15"/>
      <c r="T60" s="15"/>
      <c r="U60" s="245" t="s">
        <v>159</v>
      </c>
      <c r="V60" s="246" t="s">
        <v>158</v>
      </c>
      <c r="W60" s="225"/>
      <c r="X60" s="944">
        <f>+SUMIFS(COMPRAS!BG:BG,COMPRAS!BF:BF,V60,COMPRAS!DD:DD,"SI")+SUMIFS(COMPRAS!BP:BP,COMPRAS!BO:BO,V60,COMPRAS!DD:DD,"SI")+SUMIFS(COMPRAS!BY:BY,COMPRAS!BX:BX,V60,COMPRAS!DD:DD,"SI")</f>
        <v>0</v>
      </c>
      <c r="Y60" s="945"/>
      <c r="Z60" s="945"/>
      <c r="AA60" s="945"/>
      <c r="AB60" s="130"/>
      <c r="AC60" s="962"/>
      <c r="AD60" s="963"/>
      <c r="AE60" s="963"/>
      <c r="AF60" s="963"/>
      <c r="AG60" s="963"/>
      <c r="AH60" s="963"/>
      <c r="AI60" s="964"/>
    </row>
    <row r="61" spans="1:36" ht="21" hidden="1" customHeight="1" outlineLevel="2" x14ac:dyDescent="0.35">
      <c r="A61" s="41"/>
      <c r="B61" s="15"/>
      <c r="C61" s="15"/>
      <c r="D61" s="15"/>
      <c r="E61" s="15"/>
      <c r="F61" s="15"/>
      <c r="G61" s="15"/>
      <c r="H61" s="15"/>
      <c r="I61" s="15"/>
      <c r="J61" s="15"/>
      <c r="K61" s="15"/>
      <c r="L61" s="15"/>
      <c r="M61" s="15"/>
      <c r="N61" s="15"/>
      <c r="O61" s="15"/>
      <c r="P61" s="15"/>
      <c r="Q61" s="15"/>
      <c r="R61" s="15"/>
      <c r="S61" s="15"/>
      <c r="T61" s="15"/>
      <c r="U61" s="245" t="s">
        <v>161</v>
      </c>
      <c r="V61" s="246" t="s">
        <v>160</v>
      </c>
      <c r="W61" s="225"/>
      <c r="X61" s="944">
        <f>+SUMIFS(COMPRAS!BG:BG,COMPRAS!BF:BF,V61,COMPRAS!DD:DD,"SI")+SUMIFS(COMPRAS!BP:BP,COMPRAS!BO:BO,V61,COMPRAS!DD:DD,"SI")+SUMIFS(COMPRAS!BY:BY,COMPRAS!BX:BX,V61,COMPRAS!DD:DD,"SI")</f>
        <v>0</v>
      </c>
      <c r="Y61" s="945"/>
      <c r="Z61" s="945"/>
      <c r="AA61" s="945"/>
      <c r="AB61" s="130"/>
      <c r="AC61" s="962"/>
      <c r="AD61" s="963"/>
      <c r="AE61" s="963"/>
      <c r="AF61" s="963"/>
      <c r="AG61" s="963"/>
      <c r="AH61" s="963"/>
      <c r="AI61" s="964"/>
    </row>
    <row r="62" spans="1:36" ht="21" hidden="1" customHeight="1" outlineLevel="2" thickBot="1" x14ac:dyDescent="0.4">
      <c r="A62" s="41"/>
      <c r="B62" s="15"/>
      <c r="C62" s="15"/>
      <c r="D62" s="15"/>
      <c r="E62" s="15"/>
      <c r="F62" s="15"/>
      <c r="G62" s="15"/>
      <c r="H62" s="15"/>
      <c r="I62" s="15"/>
      <c r="J62" s="15"/>
      <c r="K62" s="15"/>
      <c r="L62" s="15"/>
      <c r="M62" s="15"/>
      <c r="N62" s="15"/>
      <c r="O62" s="15"/>
      <c r="P62" s="15"/>
      <c r="Q62" s="15"/>
      <c r="R62" s="15"/>
      <c r="S62" s="15"/>
      <c r="T62" s="15"/>
      <c r="U62" s="245" t="s">
        <v>163</v>
      </c>
      <c r="V62" s="246" t="s">
        <v>162</v>
      </c>
      <c r="W62" s="225"/>
      <c r="X62" s="944">
        <f>+SUMIFS(COMPRAS!BG:BG,COMPRAS!BF:BF,V62,COMPRAS!DD:DD,"SI")+SUMIFS(COMPRAS!BP:BP,COMPRAS!BO:BO,V62,COMPRAS!DD:DD,"SI")+SUMIFS(COMPRAS!BY:BY,COMPRAS!BX:BX,V62,COMPRAS!DD:DD,"SI")</f>
        <v>0</v>
      </c>
      <c r="Y62" s="945"/>
      <c r="Z62" s="945"/>
      <c r="AA62" s="945"/>
      <c r="AB62" s="130"/>
      <c r="AC62" s="951"/>
      <c r="AD62" s="952"/>
      <c r="AE62" s="952"/>
      <c r="AF62" s="952"/>
      <c r="AG62" s="952"/>
      <c r="AH62" s="952"/>
      <c r="AI62" s="953"/>
    </row>
    <row r="63" spans="1:36" ht="21" customHeight="1" outlineLevel="1" collapsed="1" thickBot="1" x14ac:dyDescent="0.4">
      <c r="A63" s="948" t="s">
        <v>2362</v>
      </c>
      <c r="B63" s="949"/>
      <c r="C63" s="949"/>
      <c r="D63" s="949"/>
      <c r="E63" s="949"/>
      <c r="F63" s="949"/>
      <c r="G63" s="949"/>
      <c r="H63" s="949"/>
      <c r="I63" s="949"/>
      <c r="J63" s="949"/>
      <c r="K63" s="949"/>
      <c r="L63" s="949"/>
      <c r="M63" s="949"/>
      <c r="N63" s="949"/>
      <c r="O63" s="949"/>
      <c r="P63" s="949"/>
      <c r="Q63" s="949"/>
      <c r="R63" s="949"/>
      <c r="S63" s="949"/>
      <c r="T63" s="949"/>
      <c r="U63" s="949"/>
      <c r="V63" s="949"/>
      <c r="W63" s="949"/>
      <c r="X63" s="949"/>
      <c r="Y63" s="949"/>
      <c r="Z63" s="949"/>
      <c r="AA63" s="949"/>
      <c r="AB63" s="949"/>
      <c r="AC63" s="949"/>
      <c r="AD63" s="949"/>
      <c r="AE63" s="949"/>
      <c r="AF63" s="949"/>
      <c r="AG63" s="949"/>
      <c r="AH63" s="949"/>
      <c r="AI63" s="950"/>
    </row>
    <row r="64" spans="1:36" ht="21" customHeight="1" outlineLevel="1" x14ac:dyDescent="0.35">
      <c r="A64" s="41" t="s">
        <v>980</v>
      </c>
      <c r="B64" s="37"/>
      <c r="C64" s="37"/>
      <c r="D64" s="37"/>
      <c r="E64" s="15"/>
      <c r="F64" s="15"/>
      <c r="G64" s="15"/>
      <c r="H64" s="15"/>
      <c r="I64" s="15"/>
      <c r="J64" s="15"/>
      <c r="K64" s="15"/>
      <c r="L64" s="15"/>
      <c r="M64" s="15"/>
      <c r="N64" s="15"/>
      <c r="O64" s="15"/>
      <c r="P64" s="15"/>
      <c r="Q64" s="15"/>
      <c r="R64" s="15"/>
      <c r="S64" s="15"/>
      <c r="T64" s="15"/>
      <c r="U64" s="130"/>
      <c r="V64" s="54">
        <v>314</v>
      </c>
      <c r="W64" s="225" t="s">
        <v>773</v>
      </c>
      <c r="X64" s="944">
        <f>SUM(X65:AA68)</f>
        <v>0</v>
      </c>
      <c r="Y64" s="945"/>
      <c r="Z64" s="945"/>
      <c r="AA64" s="945"/>
      <c r="AB64" s="130"/>
      <c r="AC64" s="226">
        <v>364</v>
      </c>
      <c r="AD64" s="74" t="s">
        <v>773</v>
      </c>
      <c r="AE64" s="944">
        <f>SUM(AE65:AH68)</f>
        <v>0</v>
      </c>
      <c r="AF64" s="945"/>
      <c r="AG64" s="945"/>
      <c r="AH64" s="945"/>
      <c r="AI64" s="14"/>
      <c r="AJ64" s="270"/>
    </row>
    <row r="65" spans="1:36" ht="21" hidden="1" customHeight="1" outlineLevel="2" x14ac:dyDescent="0.35">
      <c r="A65" s="249"/>
      <c r="B65" s="37"/>
      <c r="C65" s="37"/>
      <c r="D65" s="37"/>
      <c r="E65" s="15"/>
      <c r="F65" s="15"/>
      <c r="G65" s="15"/>
      <c r="H65" s="15"/>
      <c r="I65" s="15"/>
      <c r="J65" s="15"/>
      <c r="K65" s="15"/>
      <c r="L65" s="15"/>
      <c r="M65" s="15"/>
      <c r="N65" s="15"/>
      <c r="O65" s="15"/>
      <c r="P65" s="15"/>
      <c r="Q65" s="15"/>
      <c r="R65" s="15"/>
      <c r="S65" s="15"/>
      <c r="T65" s="15"/>
      <c r="U65" s="245" t="s">
        <v>100</v>
      </c>
      <c r="V65" s="246" t="s">
        <v>99</v>
      </c>
      <c r="W65" s="225"/>
      <c r="X65" s="944">
        <f>+SUMIFS(COMPRAS!BG:BG,COMPRAS!BF:BF,V65,COMPRAS!DD:DD,"SI")+SUMIFS(COMPRAS!BP:BP,COMPRAS!BO:BO,V65,COMPRAS!DD:DD,"SI")+SUMIFS(COMPRAS!BY:BY,COMPRAS!BX:BX,V65,COMPRAS!DD:DD,"SI")</f>
        <v>0</v>
      </c>
      <c r="Y65" s="945"/>
      <c r="Z65" s="945"/>
      <c r="AA65" s="945"/>
      <c r="AB65" s="130"/>
      <c r="AC65" s="226"/>
      <c r="AD65" s="74"/>
      <c r="AE65" s="944">
        <f>SUMIFS(COMPRAS!BI:BI,COMPRAS!BF:BF,V65,COMPRAS!DD:DD,"SI")+SUMIFS(COMPRAS!BR:BR,COMPRAS!BO:BO,V65,COMPRAS!DD:DD,"SI")+SUMIFS(COMPRAS!CA:CA,COMPRAS!BX:BX,V65,COMPRAS!DD:DD,"SI")</f>
        <v>0</v>
      </c>
      <c r="AF65" s="945"/>
      <c r="AG65" s="945"/>
      <c r="AH65" s="945"/>
      <c r="AI65" s="14"/>
    </row>
    <row r="66" spans="1:36" ht="21" hidden="1" customHeight="1" outlineLevel="2" x14ac:dyDescent="0.35">
      <c r="A66" s="249"/>
      <c r="B66" s="37"/>
      <c r="C66" s="37"/>
      <c r="D66" s="37"/>
      <c r="E66" s="15"/>
      <c r="F66" s="15"/>
      <c r="G66" s="15"/>
      <c r="H66" s="15"/>
      <c r="I66" s="15"/>
      <c r="J66" s="15"/>
      <c r="K66" s="15"/>
      <c r="L66" s="15"/>
      <c r="M66" s="15"/>
      <c r="N66" s="15"/>
      <c r="O66" s="15"/>
      <c r="P66" s="15"/>
      <c r="Q66" s="15"/>
      <c r="R66" s="15"/>
      <c r="S66" s="15"/>
      <c r="T66" s="15"/>
      <c r="U66" s="245" t="s">
        <v>102</v>
      </c>
      <c r="V66" s="246" t="s">
        <v>101</v>
      </c>
      <c r="W66" s="225"/>
      <c r="X66" s="944">
        <f>+SUMIFS(COMPRAS!BG:BG,COMPRAS!BF:BF,V66,COMPRAS!DD:DD,"SI")+SUMIFS(COMPRAS!BP:BP,COMPRAS!BO:BO,V66,COMPRAS!DD:DD,"SI")+SUMIFS(COMPRAS!BY:BY,COMPRAS!BX:BX,V66,COMPRAS!DD:DD,"SI")</f>
        <v>0</v>
      </c>
      <c r="Y66" s="945"/>
      <c r="Z66" s="945"/>
      <c r="AA66" s="945"/>
      <c r="AB66" s="130"/>
      <c r="AC66" s="226"/>
      <c r="AD66" s="74"/>
      <c r="AE66" s="944">
        <f>SUMIFS(COMPRAS!BI:BI,COMPRAS!BF:BF,V66,COMPRAS!DD:DD,"SI")+SUMIFS(COMPRAS!BR:BR,COMPRAS!BO:BO,V66,COMPRAS!DD:DD,"SI")+SUMIFS(COMPRAS!CA:CA,COMPRAS!BX:BX,V66,COMPRAS!DD:DD,"SI")</f>
        <v>0</v>
      </c>
      <c r="AF66" s="945"/>
      <c r="AG66" s="945"/>
      <c r="AH66" s="945"/>
      <c r="AI66" s="14"/>
    </row>
    <row r="67" spans="1:36" ht="21" hidden="1" customHeight="1" outlineLevel="2" x14ac:dyDescent="0.35">
      <c r="A67" s="249"/>
      <c r="B67" s="37"/>
      <c r="C67" s="37"/>
      <c r="D67" s="37"/>
      <c r="E67" s="15"/>
      <c r="F67" s="15"/>
      <c r="G67" s="15"/>
      <c r="H67" s="15"/>
      <c r="I67" s="15"/>
      <c r="J67" s="15"/>
      <c r="K67" s="15"/>
      <c r="L67" s="15"/>
      <c r="M67" s="15"/>
      <c r="N67" s="15"/>
      <c r="O67" s="15"/>
      <c r="P67" s="15"/>
      <c r="Q67" s="15"/>
      <c r="R67" s="15"/>
      <c r="S67" s="15"/>
      <c r="T67" s="15"/>
      <c r="U67" s="245" t="s">
        <v>104</v>
      </c>
      <c r="V67" s="246" t="s">
        <v>103</v>
      </c>
      <c r="W67" s="225"/>
      <c r="X67" s="944">
        <f>+SUMIFS(COMPRAS!BG:BG,COMPRAS!BF:BF,V67,COMPRAS!DD:DD,"SI")+SUMIFS(COMPRAS!BP:BP,COMPRAS!BO:BO,V67,COMPRAS!DD:DD,"SI")+SUMIFS(COMPRAS!BY:BY,COMPRAS!BX:BX,V67,COMPRAS!DD:DD,"SI")</f>
        <v>0</v>
      </c>
      <c r="Y67" s="945"/>
      <c r="Z67" s="945"/>
      <c r="AA67" s="945"/>
      <c r="AB67" s="130"/>
      <c r="AC67" s="226"/>
      <c r="AD67" s="74"/>
      <c r="AE67" s="944">
        <f>SUMIFS(COMPRAS!BI:BI,COMPRAS!BF:BF,V67,COMPRAS!DD:DD,"SI")+SUMIFS(COMPRAS!BR:BR,COMPRAS!BO:BO,V67,COMPRAS!DD:DD,"SI")+SUMIFS(COMPRAS!CA:CA,COMPRAS!BX:BX,V67,COMPRAS!DD:DD,"SI")</f>
        <v>0</v>
      </c>
      <c r="AF67" s="945"/>
      <c r="AG67" s="945"/>
      <c r="AH67" s="945"/>
      <c r="AI67" s="14"/>
    </row>
    <row r="68" spans="1:36" ht="21" hidden="1" customHeight="1" outlineLevel="2" x14ac:dyDescent="0.35">
      <c r="A68" s="249"/>
      <c r="B68" s="37"/>
      <c r="C68" s="37"/>
      <c r="D68" s="37"/>
      <c r="E68" s="15"/>
      <c r="F68" s="15"/>
      <c r="G68" s="15"/>
      <c r="H68" s="15"/>
      <c r="I68" s="15"/>
      <c r="J68" s="15"/>
      <c r="K68" s="15"/>
      <c r="L68" s="15"/>
      <c r="M68" s="15"/>
      <c r="N68" s="15"/>
      <c r="O68" s="15"/>
      <c r="P68" s="15"/>
      <c r="Q68" s="15"/>
      <c r="R68" s="15"/>
      <c r="S68" s="15"/>
      <c r="T68" s="15"/>
      <c r="U68" s="245" t="s">
        <v>106</v>
      </c>
      <c r="V68" s="246" t="s">
        <v>105</v>
      </c>
      <c r="W68" s="225"/>
      <c r="X68" s="944">
        <f>+SUMIFS(COMPRAS!BG:BG,COMPRAS!BF:BF,V68,COMPRAS!DD:DD,"SI")+SUMIFS(COMPRAS!BP:BP,COMPRAS!BO:BO,V68,COMPRAS!DD:DD,"SI")+SUMIFS(COMPRAS!BY:BY,COMPRAS!BX:BX,V68,COMPRAS!DD:DD,"SI")</f>
        <v>0</v>
      </c>
      <c r="Y68" s="945"/>
      <c r="Z68" s="945"/>
      <c r="AA68" s="945"/>
      <c r="AB68" s="130"/>
      <c r="AC68" s="226"/>
      <c r="AD68" s="74"/>
      <c r="AE68" s="944">
        <f>SUMIFS(COMPRAS!BI:BI,COMPRAS!BF:BF,V68,COMPRAS!DD:DD,"SI")+SUMIFS(COMPRAS!BR:BR,COMPRAS!BO:BO,V68,COMPRAS!DD:DD,"SI")+SUMIFS(COMPRAS!CA:CA,COMPRAS!BX:BX,V68,COMPRAS!DD:DD,"SI")</f>
        <v>0</v>
      </c>
      <c r="AF68" s="945"/>
      <c r="AG68" s="945"/>
      <c r="AH68" s="945"/>
      <c r="AI68" s="14"/>
    </row>
    <row r="69" spans="1:36" ht="21" customHeight="1" outlineLevel="1" collapsed="1" x14ac:dyDescent="0.35">
      <c r="A69" s="41" t="s">
        <v>2343</v>
      </c>
      <c r="B69" s="41"/>
      <c r="C69" s="37"/>
      <c r="D69" s="37"/>
      <c r="E69" s="15"/>
      <c r="F69" s="15"/>
      <c r="G69" s="15"/>
      <c r="H69" s="15"/>
      <c r="I69" s="15"/>
      <c r="J69" s="15"/>
      <c r="K69" s="15"/>
      <c r="L69" s="15"/>
      <c r="M69" s="15"/>
      <c r="N69" s="15"/>
      <c r="O69" s="15"/>
      <c r="P69" s="15"/>
      <c r="Q69" s="15"/>
      <c r="R69" s="15"/>
      <c r="S69" s="15"/>
      <c r="T69" s="15"/>
      <c r="U69" s="245"/>
      <c r="V69" s="54">
        <v>3140</v>
      </c>
      <c r="W69" s="225" t="s">
        <v>773</v>
      </c>
      <c r="X69" s="944">
        <f>SUM(X70:AA70)</f>
        <v>0</v>
      </c>
      <c r="Y69" s="945"/>
      <c r="Z69" s="945"/>
      <c r="AA69" s="945"/>
      <c r="AB69" s="130"/>
      <c r="AC69" s="226">
        <v>3640</v>
      </c>
      <c r="AD69" s="74" t="s">
        <v>773</v>
      </c>
      <c r="AE69" s="944">
        <f>SUM(AE70:AH70)</f>
        <v>0</v>
      </c>
      <c r="AF69" s="945"/>
      <c r="AG69" s="945"/>
      <c r="AH69" s="945"/>
      <c r="AI69" s="14"/>
      <c r="AJ69" s="270"/>
    </row>
    <row r="70" spans="1:36" ht="21" hidden="1" customHeight="1" outlineLevel="2" x14ac:dyDescent="0.35">
      <c r="A70" s="247"/>
      <c r="B70" s="37"/>
      <c r="C70" s="37"/>
      <c r="D70" s="37"/>
      <c r="E70" s="15"/>
      <c r="F70" s="15"/>
      <c r="G70" s="15"/>
      <c r="H70" s="15"/>
      <c r="I70" s="15"/>
      <c r="J70" s="15"/>
      <c r="K70" s="15"/>
      <c r="L70" s="15"/>
      <c r="M70" s="15"/>
      <c r="N70" s="15"/>
      <c r="O70" s="15"/>
      <c r="P70" s="15"/>
      <c r="Q70" s="15"/>
      <c r="R70" s="15"/>
      <c r="S70" s="15"/>
      <c r="T70" s="15"/>
      <c r="U70" s="245" t="s">
        <v>2363</v>
      </c>
      <c r="V70" s="246">
        <v>3482</v>
      </c>
      <c r="W70" s="225"/>
      <c r="X70" s="944">
        <f>+SUMIFS(COMPRAS!BG:BG,COMPRAS!BF:BF,V70,COMPRAS!DD:DD,"SI")+SUMIFS(COMPRAS!BP:BP,COMPRAS!BO:BO,V70,COMPRAS!DD:DD,"SI")+SUMIFS(COMPRAS!BY:BY,COMPRAS!BX:BX,V70,COMPRAS!DD:DD,"SI")</f>
        <v>0</v>
      </c>
      <c r="Y70" s="945"/>
      <c r="Z70" s="945"/>
      <c r="AA70" s="945"/>
      <c r="AB70" s="130"/>
      <c r="AC70" s="226"/>
      <c r="AD70" s="74"/>
      <c r="AE70" s="944">
        <f>SUMIFS(COMPRAS!BI:BI,COMPRAS!BF:BF,V70,COMPRAS!DD:DD,"SI")+SUMIFS(COMPRAS!BR:BR,COMPRAS!BO:BO,V70,COMPRAS!DD:DD,"SI")+SUMIFS(COMPRAS!CA:CA,COMPRAS!BX:BX,V70,COMPRAS!DD:DD,"SI")</f>
        <v>0</v>
      </c>
      <c r="AF70" s="945"/>
      <c r="AG70" s="945"/>
      <c r="AH70" s="945"/>
      <c r="AI70" s="14"/>
    </row>
    <row r="71" spans="1:36" ht="21" customHeight="1" outlineLevel="1" collapsed="1" x14ac:dyDescent="0.35">
      <c r="A71" s="1075" t="s">
        <v>979</v>
      </c>
      <c r="B71" s="1076"/>
      <c r="C71" s="1077"/>
      <c r="D71" s="15" t="s">
        <v>978</v>
      </c>
      <c r="E71" s="15"/>
      <c r="F71" s="15"/>
      <c r="G71" s="15"/>
      <c r="H71" s="15"/>
      <c r="I71" s="15"/>
      <c r="J71" s="15"/>
      <c r="K71" s="15"/>
      <c r="L71" s="15"/>
      <c r="M71" s="15"/>
      <c r="N71" s="15"/>
      <c r="O71" s="15"/>
      <c r="P71" s="15"/>
      <c r="Q71" s="15"/>
      <c r="R71" s="15"/>
      <c r="S71" s="15"/>
      <c r="T71" s="15"/>
      <c r="U71" s="130"/>
      <c r="V71" s="54">
        <v>319</v>
      </c>
      <c r="W71" s="225" t="s">
        <v>773</v>
      </c>
      <c r="X71" s="944">
        <f>+SUMIFS(COMPRAS!BG:BG,COMPRAS!BF:BF,V71,COMPRAS!DD:DD,"SI")+SUMIFS(COMPRAS!BP:BP,COMPRAS!BO:BO,V71,COMPRAS!DD:DD,"SI")+SUMIFS(COMPRAS!BY:BY,COMPRAS!BX:BX,V71,COMPRAS!DD:DD,"SI")</f>
        <v>0</v>
      </c>
      <c r="Y71" s="945"/>
      <c r="Z71" s="945"/>
      <c r="AA71" s="945"/>
      <c r="AB71" s="130"/>
      <c r="AC71" s="111">
        <v>369</v>
      </c>
      <c r="AD71" s="74" t="s">
        <v>773</v>
      </c>
      <c r="AE71" s="944">
        <f>SUMIFS(COMPRAS!BI:BI,COMPRAS!BF:BF,V71,COMPRAS!DD:DD,"SI")+SUMIFS(COMPRAS!BR:BR,COMPRAS!BO:BO,V71,COMPRAS!DD:DD,"SI")+SUMIFS(COMPRAS!CA:CA,COMPRAS!BX:BX,V71,COMPRAS!DD:DD,"SI")</f>
        <v>0</v>
      </c>
      <c r="AF71" s="945"/>
      <c r="AG71" s="945"/>
      <c r="AH71" s="945"/>
      <c r="AI71" s="14"/>
      <c r="AJ71" s="270"/>
    </row>
    <row r="72" spans="1:36" ht="21" customHeight="1" outlineLevel="1" thickBot="1" x14ac:dyDescent="0.4">
      <c r="A72" s="1078"/>
      <c r="B72" s="1079"/>
      <c r="C72" s="1080"/>
      <c r="D72" s="37" t="s">
        <v>977</v>
      </c>
      <c r="E72" s="37"/>
      <c r="F72" s="37"/>
      <c r="G72" s="37"/>
      <c r="H72" s="37"/>
      <c r="I72" s="37"/>
      <c r="J72" s="37"/>
      <c r="K72" s="37"/>
      <c r="L72" s="37"/>
      <c r="M72" s="37"/>
      <c r="N72" s="37"/>
      <c r="O72" s="37"/>
      <c r="P72" s="37"/>
      <c r="Q72" s="37"/>
      <c r="R72" s="37"/>
      <c r="S72" s="37"/>
      <c r="T72" s="37"/>
      <c r="U72" s="242"/>
      <c r="V72" s="52">
        <v>320</v>
      </c>
      <c r="W72" s="837" t="s">
        <v>773</v>
      </c>
      <c r="X72" s="957">
        <f>+SUMIFS(COMPRAS!BG:BG,COMPRAS!BF:BF,V72,COMPRAS!DD:DD,"SI")+SUMIFS(COMPRAS!BP:BP,COMPRAS!BO:BO,V72,COMPRAS!DD:DD,"SI")+SUMIFS(COMPRAS!BY:BY,COMPRAS!BX:BX,V72,COMPRAS!DD:DD,"SI")</f>
        <v>0</v>
      </c>
      <c r="Y72" s="958"/>
      <c r="Z72" s="958"/>
      <c r="AA72" s="958"/>
      <c r="AB72" s="242"/>
      <c r="AC72" s="838">
        <v>370</v>
      </c>
      <c r="AD72" s="836" t="s">
        <v>773</v>
      </c>
      <c r="AE72" s="957">
        <f>SUMIFS(COMPRAS!BI:BI,COMPRAS!BF:BF,V72,COMPRAS!DD:DD,"SI")+SUMIFS(COMPRAS!BR:BR,COMPRAS!BO:BO,V72,COMPRAS!DD:DD,"SI")+SUMIFS(COMPRAS!CA:CA,COMPRAS!BX:BX,V72,COMPRAS!DD:DD,"SI")</f>
        <v>0</v>
      </c>
      <c r="AF72" s="958"/>
      <c r="AG72" s="958"/>
      <c r="AH72" s="958"/>
      <c r="AI72" s="205"/>
      <c r="AJ72" s="270"/>
    </row>
    <row r="73" spans="1:36" ht="21" customHeight="1" outlineLevel="1" thickBot="1" x14ac:dyDescent="0.4">
      <c r="A73" s="948" t="s">
        <v>2364</v>
      </c>
      <c r="B73" s="949"/>
      <c r="C73" s="949"/>
      <c r="D73" s="949"/>
      <c r="E73" s="949"/>
      <c r="F73" s="949"/>
      <c r="G73" s="949"/>
      <c r="H73" s="949"/>
      <c r="I73" s="949"/>
      <c r="J73" s="949"/>
      <c r="K73" s="949"/>
      <c r="L73" s="949"/>
      <c r="M73" s="949"/>
      <c r="N73" s="949"/>
      <c r="O73" s="949"/>
      <c r="P73" s="949"/>
      <c r="Q73" s="949"/>
      <c r="R73" s="949"/>
      <c r="S73" s="949"/>
      <c r="T73" s="949"/>
      <c r="U73" s="949"/>
      <c r="V73" s="949"/>
      <c r="W73" s="949"/>
      <c r="X73" s="949"/>
      <c r="Y73" s="949"/>
      <c r="Z73" s="949"/>
      <c r="AA73" s="949"/>
      <c r="AB73" s="949"/>
      <c r="AC73" s="949"/>
      <c r="AD73" s="949"/>
      <c r="AE73" s="949"/>
      <c r="AF73" s="949"/>
      <c r="AG73" s="949"/>
      <c r="AH73" s="949"/>
      <c r="AI73" s="950"/>
    </row>
    <row r="74" spans="1:36" ht="21" customHeight="1" outlineLevel="1" x14ac:dyDescent="0.35">
      <c r="A74" s="41" t="s">
        <v>976</v>
      </c>
      <c r="B74" s="15"/>
      <c r="C74" s="15"/>
      <c r="D74" s="15"/>
      <c r="E74" s="15"/>
      <c r="F74" s="15"/>
      <c r="G74" s="15"/>
      <c r="H74" s="15"/>
      <c r="I74" s="15"/>
      <c r="J74" s="15"/>
      <c r="K74" s="15"/>
      <c r="L74" s="15"/>
      <c r="M74" s="15"/>
      <c r="N74" s="15"/>
      <c r="O74" s="15"/>
      <c r="P74" s="15"/>
      <c r="Q74" s="15"/>
      <c r="R74" s="15"/>
      <c r="S74" s="15"/>
      <c r="T74" s="15"/>
      <c r="U74" s="130"/>
      <c r="V74" s="54">
        <v>323</v>
      </c>
      <c r="W74" s="225" t="s">
        <v>773</v>
      </c>
      <c r="X74" s="944">
        <f>SUM(X75:AA86)</f>
        <v>0</v>
      </c>
      <c r="Y74" s="945"/>
      <c r="Z74" s="945"/>
      <c r="AA74" s="945"/>
      <c r="AB74" s="130"/>
      <c r="AC74" s="226">
        <v>373</v>
      </c>
      <c r="AD74" s="74" t="s">
        <v>773</v>
      </c>
      <c r="AE74" s="944">
        <f>SUM(AE75:AH86)</f>
        <v>0</v>
      </c>
      <c r="AF74" s="945"/>
      <c r="AG74" s="945"/>
      <c r="AH74" s="945"/>
      <c r="AI74" s="14"/>
      <c r="AJ74" s="270"/>
    </row>
    <row r="75" spans="1:36" ht="21" hidden="1" customHeight="1" outlineLevel="2" x14ac:dyDescent="0.35">
      <c r="A75" s="41"/>
      <c r="B75" s="15"/>
      <c r="C75" s="15"/>
      <c r="D75" s="15"/>
      <c r="E75" s="15"/>
      <c r="F75" s="15"/>
      <c r="G75" s="15"/>
      <c r="H75" s="15"/>
      <c r="I75" s="15"/>
      <c r="J75" s="15"/>
      <c r="K75" s="15"/>
      <c r="L75" s="15"/>
      <c r="M75" s="15"/>
      <c r="N75" s="15"/>
      <c r="O75" s="15"/>
      <c r="P75" s="15"/>
      <c r="Q75" s="15"/>
      <c r="R75" s="15"/>
      <c r="S75" s="15"/>
      <c r="T75" s="15"/>
      <c r="U75" s="245" t="s">
        <v>108</v>
      </c>
      <c r="V75" s="246">
        <v>323</v>
      </c>
      <c r="W75" s="225"/>
      <c r="X75" s="944">
        <f>+SUMIFS(COMPRAS!BG:BG,COMPRAS!BF:BF,V75,COMPRAS!DD:DD,"SI")+SUMIFS(COMPRAS!BP:BP,COMPRAS!BO:BO,V75,COMPRAS!DD:DD,"SI")+SUMIFS(COMPRAS!BY:BY,COMPRAS!BX:BX,V75,COMPRAS!DD:DD,"SI")</f>
        <v>0</v>
      </c>
      <c r="Y75" s="945"/>
      <c r="Z75" s="945"/>
      <c r="AA75" s="945"/>
      <c r="AB75" s="130"/>
      <c r="AC75" s="226"/>
      <c r="AD75" s="74"/>
      <c r="AE75" s="944">
        <f>SUMIFS(COMPRAS!BI:BI,COMPRAS!BF:BF,V75,COMPRAS!DD:DD,"SI")+SUMIFS(COMPRAS!BR:BR,COMPRAS!BO:BO,V75,COMPRAS!DD:DD,"SI")+SUMIFS(COMPRAS!CA:CA,COMPRAS!BX:BX,V75,COMPRAS!DD:DD,"SI")</f>
        <v>0</v>
      </c>
      <c r="AF75" s="945"/>
      <c r="AG75" s="945"/>
      <c r="AH75" s="945"/>
      <c r="AI75" s="14"/>
    </row>
    <row r="76" spans="1:36" ht="21" hidden="1" customHeight="1" outlineLevel="2" x14ac:dyDescent="0.35">
      <c r="A76" s="41"/>
      <c r="B76" s="15"/>
      <c r="C76" s="15"/>
      <c r="D76" s="15"/>
      <c r="E76" s="15"/>
      <c r="F76" s="15"/>
      <c r="G76" s="15"/>
      <c r="H76" s="15"/>
      <c r="I76" s="15"/>
      <c r="J76" s="15"/>
      <c r="K76" s="15"/>
      <c r="L76" s="15"/>
      <c r="M76" s="15"/>
      <c r="N76" s="15"/>
      <c r="O76" s="15"/>
      <c r="P76" s="15"/>
      <c r="Q76" s="15"/>
      <c r="R76" s="15"/>
      <c r="S76" s="15"/>
      <c r="T76" s="15"/>
      <c r="U76" s="245" t="s">
        <v>110</v>
      </c>
      <c r="V76" s="246" t="s">
        <v>109</v>
      </c>
      <c r="W76" s="225"/>
      <c r="X76" s="944">
        <f>+SUMIFS(COMPRAS!BG:BG,COMPRAS!BF:BF,V76,COMPRAS!DD:DD,"SI")+SUMIFS(COMPRAS!BP:BP,COMPRAS!BO:BO,V76,COMPRAS!DD:DD,"SI")+SUMIFS(COMPRAS!BY:BY,COMPRAS!BX:BX,V76,COMPRAS!DD:DD,"SI")</f>
        <v>0</v>
      </c>
      <c r="Y76" s="945"/>
      <c r="Z76" s="945"/>
      <c r="AA76" s="945"/>
      <c r="AB76" s="130"/>
      <c r="AC76" s="226"/>
      <c r="AD76" s="74"/>
      <c r="AE76" s="944">
        <f>SUMIFS(COMPRAS!BI:BI,COMPRAS!BF:BF,V76,COMPRAS!DD:DD,"SI")+SUMIFS(COMPRAS!BR:BR,COMPRAS!BO:BO,V76,COMPRAS!DD:DD,"SI")+SUMIFS(COMPRAS!CA:CA,COMPRAS!BX:BX,V76,COMPRAS!DD:DD,"SI")</f>
        <v>0</v>
      </c>
      <c r="AF76" s="945"/>
      <c r="AG76" s="945"/>
      <c r="AH76" s="945"/>
      <c r="AI76" s="14"/>
    </row>
    <row r="77" spans="1:36" ht="21" hidden="1" customHeight="1" outlineLevel="2" x14ac:dyDescent="0.35">
      <c r="A77" s="41"/>
      <c r="B77" s="15"/>
      <c r="C77" s="15"/>
      <c r="D77" s="15"/>
      <c r="E77" s="15"/>
      <c r="F77" s="15"/>
      <c r="G77" s="15"/>
      <c r="H77" s="15"/>
      <c r="I77" s="15"/>
      <c r="J77" s="15"/>
      <c r="K77" s="15"/>
      <c r="L77" s="15"/>
      <c r="M77" s="15"/>
      <c r="N77" s="15"/>
      <c r="O77" s="15"/>
      <c r="P77" s="15"/>
      <c r="Q77" s="15"/>
      <c r="R77" s="15"/>
      <c r="S77" s="15"/>
      <c r="T77" s="15"/>
      <c r="U77" s="245" t="s">
        <v>112</v>
      </c>
      <c r="V77" s="246" t="s">
        <v>111</v>
      </c>
      <c r="W77" s="225"/>
      <c r="X77" s="944">
        <f>+SUMIFS(COMPRAS!BG:BG,COMPRAS!BF:BF,V77,COMPRAS!DD:DD,"SI")+SUMIFS(COMPRAS!BP:BP,COMPRAS!BO:BO,V77,COMPRAS!DD:DD,"SI")+SUMIFS(COMPRAS!BY:BY,COMPRAS!BX:BX,V77,COMPRAS!DD:DD,"SI")</f>
        <v>0</v>
      </c>
      <c r="Y77" s="945"/>
      <c r="Z77" s="945"/>
      <c r="AA77" s="945"/>
      <c r="AB77" s="130"/>
      <c r="AC77" s="226"/>
      <c r="AD77" s="74"/>
      <c r="AE77" s="944">
        <f>SUMIFS(COMPRAS!BI:BI,COMPRAS!BF:BF,V77,COMPRAS!DD:DD,"SI")+SUMIFS(COMPRAS!BR:BR,COMPRAS!BO:BO,V77,COMPRAS!DD:DD,"SI")+SUMIFS(COMPRAS!CA:CA,COMPRAS!BX:BX,V77,COMPRAS!DD:DD,"SI")</f>
        <v>0</v>
      </c>
      <c r="AF77" s="945"/>
      <c r="AG77" s="945"/>
      <c r="AH77" s="945"/>
      <c r="AI77" s="14"/>
    </row>
    <row r="78" spans="1:36" ht="21" hidden="1" customHeight="1" outlineLevel="2" x14ac:dyDescent="0.35">
      <c r="A78" s="41"/>
      <c r="B78" s="15"/>
      <c r="C78" s="15"/>
      <c r="D78" s="15"/>
      <c r="E78" s="15"/>
      <c r="F78" s="15"/>
      <c r="G78" s="15"/>
      <c r="H78" s="15"/>
      <c r="I78" s="15"/>
      <c r="J78" s="15"/>
      <c r="K78" s="15"/>
      <c r="L78" s="15"/>
      <c r="M78" s="15"/>
      <c r="N78" s="15"/>
      <c r="O78" s="15"/>
      <c r="P78" s="15"/>
      <c r="Q78" s="15"/>
      <c r="R78" s="15"/>
      <c r="S78" s="15"/>
      <c r="T78" s="15"/>
      <c r="U78" s="245" t="s">
        <v>114</v>
      </c>
      <c r="V78" s="246" t="s">
        <v>113</v>
      </c>
      <c r="W78" s="225"/>
      <c r="X78" s="944">
        <f>+SUMIFS(COMPRAS!BG:BG,COMPRAS!BF:BF,V78,COMPRAS!DD:DD,"SI")+SUMIFS(COMPRAS!BP:BP,COMPRAS!BO:BO,V78,COMPRAS!DD:DD,"SI")+SUMIFS(COMPRAS!BY:BY,COMPRAS!BX:BX,V78,COMPRAS!DD:DD,"SI")</f>
        <v>0</v>
      </c>
      <c r="Y78" s="945"/>
      <c r="Z78" s="945"/>
      <c r="AA78" s="945"/>
      <c r="AB78" s="130"/>
      <c r="AC78" s="226"/>
      <c r="AD78" s="74"/>
      <c r="AE78" s="944">
        <f>SUMIFS(COMPRAS!BI:BI,COMPRAS!BF:BF,V78,COMPRAS!DD:DD,"SI")+SUMIFS(COMPRAS!BR:BR,COMPRAS!BO:BO,V78,COMPRAS!DD:DD,"SI")+SUMIFS(COMPRAS!CA:CA,COMPRAS!BX:BX,V78,COMPRAS!DD:DD,"SI")</f>
        <v>0</v>
      </c>
      <c r="AF78" s="945"/>
      <c r="AG78" s="945"/>
      <c r="AH78" s="945"/>
      <c r="AI78" s="14"/>
    </row>
    <row r="79" spans="1:36" ht="21" hidden="1" customHeight="1" outlineLevel="2" x14ac:dyDescent="0.35">
      <c r="A79" s="41"/>
      <c r="B79" s="15"/>
      <c r="C79" s="15"/>
      <c r="D79" s="15"/>
      <c r="E79" s="15"/>
      <c r="F79" s="15"/>
      <c r="G79" s="15"/>
      <c r="H79" s="15"/>
      <c r="I79" s="15"/>
      <c r="J79" s="15"/>
      <c r="K79" s="15"/>
      <c r="L79" s="15"/>
      <c r="M79" s="15"/>
      <c r="N79" s="15"/>
      <c r="O79" s="15"/>
      <c r="P79" s="15"/>
      <c r="Q79" s="15"/>
      <c r="R79" s="15"/>
      <c r="S79" s="15"/>
      <c r="T79" s="15"/>
      <c r="U79" s="245" t="s">
        <v>118</v>
      </c>
      <c r="V79" s="246" t="s">
        <v>117</v>
      </c>
      <c r="W79" s="225"/>
      <c r="X79" s="944">
        <f>+SUMIFS(COMPRAS!BG:BG,COMPRAS!BF:BF,V79,COMPRAS!DD:DD,"SI")+SUMIFS(COMPRAS!BP:BP,COMPRAS!BO:BO,V79,COMPRAS!DD:DD,"SI")+SUMIFS(COMPRAS!BY:BY,COMPRAS!BX:BX,V79,COMPRAS!DD:DD,"SI")</f>
        <v>0</v>
      </c>
      <c r="Y79" s="945"/>
      <c r="Z79" s="945"/>
      <c r="AA79" s="945"/>
      <c r="AB79" s="130"/>
      <c r="AC79" s="226"/>
      <c r="AD79" s="74"/>
      <c r="AE79" s="944">
        <f>SUMIFS(COMPRAS!BI:BI,COMPRAS!BF:BF,V79,COMPRAS!DD:DD,"SI")+SUMIFS(COMPRAS!BR:BR,COMPRAS!BO:BO,V79,COMPRAS!DD:DD,"SI")+SUMIFS(COMPRAS!CA:CA,COMPRAS!BX:BX,V79,COMPRAS!DD:DD,"SI")</f>
        <v>0</v>
      </c>
      <c r="AF79" s="945"/>
      <c r="AG79" s="945"/>
      <c r="AH79" s="945"/>
      <c r="AI79" s="14"/>
    </row>
    <row r="80" spans="1:36" ht="21" hidden="1" customHeight="1" outlineLevel="2" x14ac:dyDescent="0.35">
      <c r="A80" s="41"/>
      <c r="B80" s="15"/>
      <c r="C80" s="15"/>
      <c r="D80" s="15"/>
      <c r="E80" s="15"/>
      <c r="F80" s="15"/>
      <c r="G80" s="15"/>
      <c r="H80" s="15"/>
      <c r="I80" s="15"/>
      <c r="J80" s="15"/>
      <c r="K80" s="15"/>
      <c r="L80" s="15"/>
      <c r="M80" s="15"/>
      <c r="N80" s="15"/>
      <c r="O80" s="15"/>
      <c r="P80" s="15"/>
      <c r="Q80" s="15"/>
      <c r="R80" s="15"/>
      <c r="S80" s="15"/>
      <c r="T80" s="15"/>
      <c r="U80" s="245" t="s">
        <v>120</v>
      </c>
      <c r="V80" s="246" t="s">
        <v>119</v>
      </c>
      <c r="W80" s="225"/>
      <c r="X80" s="944">
        <f>+SUMIFS(COMPRAS!BG:BG,COMPRAS!BF:BF,V80,COMPRAS!DD:DD,"SI")+SUMIFS(COMPRAS!BP:BP,COMPRAS!BO:BO,V80,COMPRAS!DD:DD,"SI")+SUMIFS(COMPRAS!BY:BY,COMPRAS!BX:BX,V80,COMPRAS!DD:DD,"SI")</f>
        <v>0</v>
      </c>
      <c r="Y80" s="945"/>
      <c r="Z80" s="945"/>
      <c r="AA80" s="945"/>
      <c r="AB80" s="130"/>
      <c r="AC80" s="226"/>
      <c r="AD80" s="74"/>
      <c r="AE80" s="944">
        <f>SUMIFS(COMPRAS!BI:BI,COMPRAS!BF:BF,V80,COMPRAS!DD:DD,"SI")+SUMIFS(COMPRAS!BR:BR,COMPRAS!BO:BO,V80,COMPRAS!DD:DD,"SI")+SUMIFS(COMPRAS!CA:CA,COMPRAS!BX:BX,V80,COMPRAS!DD:DD,"SI")</f>
        <v>0</v>
      </c>
      <c r="AF80" s="945"/>
      <c r="AG80" s="945"/>
      <c r="AH80" s="945"/>
      <c r="AI80" s="14"/>
    </row>
    <row r="81" spans="1:36" ht="21" hidden="1" customHeight="1" outlineLevel="2" x14ac:dyDescent="0.35">
      <c r="A81" s="41"/>
      <c r="B81" s="15"/>
      <c r="C81" s="15"/>
      <c r="D81" s="15"/>
      <c r="E81" s="15"/>
      <c r="F81" s="15"/>
      <c r="G81" s="15"/>
      <c r="H81" s="15"/>
      <c r="I81" s="15"/>
      <c r="J81" s="15"/>
      <c r="K81" s="15"/>
      <c r="L81" s="15"/>
      <c r="M81" s="15"/>
      <c r="N81" s="15"/>
      <c r="O81" s="15"/>
      <c r="P81" s="15"/>
      <c r="Q81" s="15"/>
      <c r="R81" s="15"/>
      <c r="S81" s="15"/>
      <c r="T81" s="15"/>
      <c r="U81" s="245" t="s">
        <v>122</v>
      </c>
      <c r="V81" s="246" t="s">
        <v>121</v>
      </c>
      <c r="W81" s="225"/>
      <c r="X81" s="944">
        <f>+SUMIFS(COMPRAS!BG:BG,COMPRAS!BF:BF,V81,COMPRAS!DD:DD,"SI")+SUMIFS(COMPRAS!BP:BP,COMPRAS!BO:BO,V81,COMPRAS!DD:DD,"SI")+SUMIFS(COMPRAS!BY:BY,COMPRAS!BX:BX,V81,COMPRAS!DD:DD,"SI")</f>
        <v>0</v>
      </c>
      <c r="Y81" s="945"/>
      <c r="Z81" s="945"/>
      <c r="AA81" s="945"/>
      <c r="AB81" s="130"/>
      <c r="AC81" s="226"/>
      <c r="AD81" s="74"/>
      <c r="AE81" s="944">
        <f>SUMIFS(COMPRAS!BI:BI,COMPRAS!BF:BF,V81,COMPRAS!DD:DD,"SI")+SUMIFS(COMPRAS!BR:BR,COMPRAS!BO:BO,V81,COMPRAS!DD:DD,"SI")+SUMIFS(COMPRAS!CA:CA,COMPRAS!BX:BX,V81,COMPRAS!DD:DD,"SI")</f>
        <v>0</v>
      </c>
      <c r="AF81" s="945"/>
      <c r="AG81" s="945"/>
      <c r="AH81" s="945"/>
      <c r="AI81" s="14"/>
    </row>
    <row r="82" spans="1:36" ht="21" hidden="1" customHeight="1" outlineLevel="2" x14ac:dyDescent="0.35">
      <c r="A82" s="41"/>
      <c r="B82" s="15"/>
      <c r="C82" s="15"/>
      <c r="D82" s="15"/>
      <c r="E82" s="15"/>
      <c r="F82" s="15"/>
      <c r="G82" s="15"/>
      <c r="H82" s="15"/>
      <c r="I82" s="15"/>
      <c r="J82" s="15"/>
      <c r="K82" s="15"/>
      <c r="L82" s="15"/>
      <c r="M82" s="15"/>
      <c r="N82" s="15"/>
      <c r="O82" s="15"/>
      <c r="P82" s="15"/>
      <c r="Q82" s="15"/>
      <c r="R82" s="15"/>
      <c r="S82" s="15"/>
      <c r="T82" s="15"/>
      <c r="U82" s="245" t="s">
        <v>124</v>
      </c>
      <c r="V82" s="246" t="s">
        <v>123</v>
      </c>
      <c r="W82" s="225"/>
      <c r="X82" s="944">
        <f>+SUMIFS(COMPRAS!BG:BG,COMPRAS!BF:BF,V82,COMPRAS!DD:DD,"SI")+SUMIFS(COMPRAS!BP:BP,COMPRAS!BO:BO,V82,COMPRAS!DD:DD,"SI")+SUMIFS(COMPRAS!BY:BY,COMPRAS!BX:BX,V82,COMPRAS!DD:DD,"SI")</f>
        <v>0</v>
      </c>
      <c r="Y82" s="945"/>
      <c r="Z82" s="945"/>
      <c r="AA82" s="945"/>
      <c r="AB82" s="130"/>
      <c r="AC82" s="226"/>
      <c r="AD82" s="74"/>
      <c r="AE82" s="944">
        <f>SUMIFS(COMPRAS!BI:BI,COMPRAS!BF:BF,V82,COMPRAS!DD:DD,"SI")+SUMIFS(COMPRAS!BR:BR,COMPRAS!BO:BO,V82,COMPRAS!DD:DD,"SI")+SUMIFS(COMPRAS!CA:CA,COMPRAS!BX:BX,V82,COMPRAS!DD:DD,"SI")</f>
        <v>0</v>
      </c>
      <c r="AF82" s="945"/>
      <c r="AG82" s="945"/>
      <c r="AH82" s="945"/>
      <c r="AI82" s="14"/>
    </row>
    <row r="83" spans="1:36" ht="21" hidden="1" customHeight="1" outlineLevel="2" x14ac:dyDescent="0.35">
      <c r="A83" s="41"/>
      <c r="B83" s="15"/>
      <c r="C83" s="15"/>
      <c r="D83" s="15"/>
      <c r="E83" s="15"/>
      <c r="F83" s="15"/>
      <c r="G83" s="15"/>
      <c r="H83" s="15"/>
      <c r="I83" s="15"/>
      <c r="J83" s="15"/>
      <c r="K83" s="15"/>
      <c r="L83" s="15"/>
      <c r="M83" s="15"/>
      <c r="N83" s="15"/>
      <c r="O83" s="15"/>
      <c r="P83" s="15"/>
      <c r="Q83" s="15"/>
      <c r="R83" s="15"/>
      <c r="S83" s="15"/>
      <c r="T83" s="15"/>
      <c r="U83" s="245" t="s">
        <v>126</v>
      </c>
      <c r="V83" s="246" t="s">
        <v>125</v>
      </c>
      <c r="W83" s="225"/>
      <c r="X83" s="944">
        <f>+SUMIFS(COMPRAS!BG:BG,COMPRAS!BF:BF,V83,COMPRAS!DD:DD,"SI")+SUMIFS(COMPRAS!BP:BP,COMPRAS!BO:BO,V83,COMPRAS!DD:DD,"SI")+SUMIFS(COMPRAS!BY:BY,COMPRAS!BX:BX,V83,COMPRAS!DD:DD,"SI")</f>
        <v>0</v>
      </c>
      <c r="Y83" s="945"/>
      <c r="Z83" s="945"/>
      <c r="AA83" s="945"/>
      <c r="AB83" s="130"/>
      <c r="AC83" s="226"/>
      <c r="AD83" s="74"/>
      <c r="AE83" s="944">
        <f>SUMIFS(COMPRAS!BI:BI,COMPRAS!BF:BF,V83,COMPRAS!DD:DD,"SI")+SUMIFS(COMPRAS!BR:BR,COMPRAS!BO:BO,V83,COMPRAS!DD:DD,"SI")+SUMIFS(COMPRAS!CA:CA,COMPRAS!BX:BX,V83,COMPRAS!DD:DD,"SI")</f>
        <v>0</v>
      </c>
      <c r="AF83" s="945"/>
      <c r="AG83" s="945"/>
      <c r="AH83" s="945"/>
      <c r="AI83" s="14"/>
    </row>
    <row r="84" spans="1:36" ht="21" hidden="1" customHeight="1" outlineLevel="2" x14ac:dyDescent="0.35">
      <c r="A84" s="41"/>
      <c r="B84" s="15"/>
      <c r="C84" s="15"/>
      <c r="D84" s="15"/>
      <c r="E84" s="15"/>
      <c r="F84" s="15"/>
      <c r="G84" s="15"/>
      <c r="H84" s="15"/>
      <c r="I84" s="15"/>
      <c r="J84" s="15"/>
      <c r="K84" s="15"/>
      <c r="L84" s="15"/>
      <c r="M84" s="15"/>
      <c r="N84" s="15"/>
      <c r="O84" s="15"/>
      <c r="P84" s="15"/>
      <c r="Q84" s="15"/>
      <c r="R84" s="15"/>
      <c r="S84" s="15"/>
      <c r="T84" s="15"/>
      <c r="U84" s="245" t="s">
        <v>132</v>
      </c>
      <c r="V84" s="246" t="s">
        <v>131</v>
      </c>
      <c r="W84" s="225"/>
      <c r="X84" s="944">
        <f>+SUMIFS(COMPRAS!BG:BG,COMPRAS!BF:BF,V84,COMPRAS!DD:DD,"SI")+SUMIFS(COMPRAS!BP:BP,COMPRAS!BO:BO,V84,COMPRAS!DD:DD,"SI")+SUMIFS(COMPRAS!BY:BY,COMPRAS!BX:BX,V84,COMPRAS!DD:DD,"SI")</f>
        <v>0</v>
      </c>
      <c r="Y84" s="945"/>
      <c r="Z84" s="945"/>
      <c r="AA84" s="945"/>
      <c r="AB84" s="130"/>
      <c r="AC84" s="226"/>
      <c r="AD84" s="74"/>
      <c r="AE84" s="944">
        <f>SUMIFS(COMPRAS!BI:BI,COMPRAS!BF:BF,V84,COMPRAS!DD:DD,"SI")+SUMIFS(COMPRAS!BR:BR,COMPRAS!BO:BO,V84,COMPRAS!DD:DD,"SI")+SUMIFS(COMPRAS!CA:CA,COMPRAS!BX:BX,V84,COMPRAS!DD:DD,"SI")</f>
        <v>0</v>
      </c>
      <c r="AF84" s="945"/>
      <c r="AG84" s="945"/>
      <c r="AH84" s="945"/>
      <c r="AI84" s="14"/>
    </row>
    <row r="85" spans="1:36" ht="21" hidden="1" customHeight="1" outlineLevel="2" x14ac:dyDescent="0.35">
      <c r="A85" s="41"/>
      <c r="B85" s="15"/>
      <c r="C85" s="15"/>
      <c r="D85" s="15"/>
      <c r="E85" s="15"/>
      <c r="F85" s="15"/>
      <c r="G85" s="15"/>
      <c r="H85" s="15"/>
      <c r="I85" s="15"/>
      <c r="J85" s="15"/>
      <c r="K85" s="15"/>
      <c r="L85" s="15"/>
      <c r="M85" s="15"/>
      <c r="N85" s="15"/>
      <c r="O85" s="15"/>
      <c r="P85" s="15"/>
      <c r="Q85" s="15"/>
      <c r="R85" s="15"/>
      <c r="S85" s="15"/>
      <c r="T85" s="15"/>
      <c r="U85" s="245" t="s">
        <v>134</v>
      </c>
      <c r="V85" s="246" t="s">
        <v>133</v>
      </c>
      <c r="W85" s="225"/>
      <c r="X85" s="944">
        <f>+SUMIFS(COMPRAS!BG:BG,COMPRAS!BF:BF,V85,COMPRAS!DD:DD,"SI")+SUMIFS(COMPRAS!BP:BP,COMPRAS!BO:BO,V85,COMPRAS!DD:DD,"SI")+SUMIFS(COMPRAS!BY:BY,COMPRAS!BX:BX,V85,COMPRAS!DD:DD,"SI")</f>
        <v>0</v>
      </c>
      <c r="Y85" s="945"/>
      <c r="Z85" s="945"/>
      <c r="AA85" s="945"/>
      <c r="AB85" s="130"/>
      <c r="AC85" s="226"/>
      <c r="AD85" s="74"/>
      <c r="AE85" s="944">
        <f>SUMIFS(COMPRAS!BI:BI,COMPRAS!BF:BF,V85,COMPRAS!DD:DD,"SI")+SUMIFS(COMPRAS!BR:BR,COMPRAS!BO:BO,V85,COMPRAS!DD:DD,"SI")+SUMIFS(COMPRAS!CA:CA,COMPRAS!BX:BX,V85,COMPRAS!DD:DD,"SI")</f>
        <v>0</v>
      </c>
      <c r="AF85" s="945"/>
      <c r="AG85" s="945"/>
      <c r="AH85" s="945"/>
      <c r="AI85" s="14"/>
    </row>
    <row r="86" spans="1:36" ht="21" hidden="1" customHeight="1" outlineLevel="2" x14ac:dyDescent="0.35">
      <c r="A86" s="41"/>
      <c r="B86" s="15"/>
      <c r="C86" s="15"/>
      <c r="D86" s="15"/>
      <c r="E86" s="15"/>
      <c r="F86" s="15"/>
      <c r="G86" s="15"/>
      <c r="H86" s="15"/>
      <c r="I86" s="15"/>
      <c r="J86" s="15"/>
      <c r="K86" s="15"/>
      <c r="L86" s="15"/>
      <c r="M86" s="15"/>
      <c r="N86" s="15"/>
      <c r="O86" s="15"/>
      <c r="P86" s="15"/>
      <c r="Q86" s="15"/>
      <c r="R86" s="15"/>
      <c r="S86" s="15"/>
      <c r="T86" s="15"/>
      <c r="U86" s="245" t="s">
        <v>1047</v>
      </c>
      <c r="V86" s="246" t="s">
        <v>1046</v>
      </c>
      <c r="W86" s="225"/>
      <c r="X86" s="944">
        <f>+SUMIFS(COMPRAS!BG:BG,COMPRAS!BF:BF,V86,COMPRAS!DD:DD,"SI")+SUMIFS(COMPRAS!BP:BP,COMPRAS!BO:BO,V86,COMPRAS!DD:DD,"SI")+SUMIFS(COMPRAS!BY:BY,COMPRAS!BX:BX,V86,COMPRAS!DD:DD,"SI")</f>
        <v>0</v>
      </c>
      <c r="Y86" s="945"/>
      <c r="Z86" s="945"/>
      <c r="AA86" s="945"/>
      <c r="AB86" s="130"/>
      <c r="AC86" s="226"/>
      <c r="AD86" s="74"/>
      <c r="AE86" s="944">
        <f>SUMIFS(COMPRAS!BI:BI,COMPRAS!BF:BF,V86,COMPRAS!DD:DD,"SI")+SUMIFS(COMPRAS!BR:BR,COMPRAS!BO:BO,V86,COMPRAS!DD:DD,"SI")+SUMIFS(COMPRAS!CA:CA,COMPRAS!BX:BX,V86,COMPRAS!DD:DD,"SI")</f>
        <v>0</v>
      </c>
      <c r="AF86" s="945"/>
      <c r="AG86" s="945"/>
      <c r="AH86" s="945"/>
      <c r="AI86" s="14"/>
    </row>
    <row r="87" spans="1:36" ht="21" customHeight="1" outlineLevel="1" collapsed="1" x14ac:dyDescent="0.35">
      <c r="A87" s="41" t="s">
        <v>975</v>
      </c>
      <c r="B87" s="15"/>
      <c r="C87" s="15"/>
      <c r="D87" s="15"/>
      <c r="E87" s="15"/>
      <c r="F87" s="15"/>
      <c r="G87" s="15"/>
      <c r="H87" s="15"/>
      <c r="I87" s="15"/>
      <c r="J87" s="15"/>
      <c r="K87" s="15"/>
      <c r="L87" s="15"/>
      <c r="M87" s="15"/>
      <c r="N87" s="15"/>
      <c r="O87" s="15"/>
      <c r="P87" s="15"/>
      <c r="Q87" s="15"/>
      <c r="R87" s="15"/>
      <c r="S87" s="15"/>
      <c r="T87" s="15"/>
      <c r="U87" s="130"/>
      <c r="V87" s="54">
        <v>324</v>
      </c>
      <c r="W87" s="225" t="s">
        <v>773</v>
      </c>
      <c r="X87" s="944">
        <f>SUM(X88:AA90)</f>
        <v>0</v>
      </c>
      <c r="Y87" s="945"/>
      <c r="Z87" s="945"/>
      <c r="AA87" s="945"/>
      <c r="AB87" s="130"/>
      <c r="AC87" s="111">
        <v>374</v>
      </c>
      <c r="AD87" s="74" t="s">
        <v>773</v>
      </c>
      <c r="AE87" s="944">
        <f>SUM(AE88:AH90)</f>
        <v>0</v>
      </c>
      <c r="AF87" s="945"/>
      <c r="AG87" s="945"/>
      <c r="AH87" s="945"/>
      <c r="AI87" s="14"/>
      <c r="AJ87" s="270"/>
    </row>
    <row r="88" spans="1:36" ht="21" hidden="1" customHeight="1" outlineLevel="2" x14ac:dyDescent="0.35">
      <c r="A88" s="41"/>
      <c r="B88" s="15"/>
      <c r="C88" s="15"/>
      <c r="D88" s="15"/>
      <c r="E88" s="15"/>
      <c r="F88" s="15"/>
      <c r="G88" s="15"/>
      <c r="H88" s="15"/>
      <c r="I88" s="15"/>
      <c r="J88" s="15"/>
      <c r="K88" s="15"/>
      <c r="L88" s="15"/>
      <c r="M88" s="15"/>
      <c r="N88" s="15"/>
      <c r="O88" s="15"/>
      <c r="P88" s="15"/>
      <c r="Q88" s="15"/>
      <c r="R88" s="15"/>
      <c r="S88" s="15"/>
      <c r="T88" s="15"/>
      <c r="U88" s="245" t="s">
        <v>138</v>
      </c>
      <c r="V88" s="246" t="s">
        <v>137</v>
      </c>
      <c r="W88" s="225"/>
      <c r="X88" s="944">
        <f>+SUMIFS(COMPRAS!BG:BG,COMPRAS!BF:BF,V88,COMPRAS!DD:DD,"SI")+SUMIFS(COMPRAS!BP:BP,COMPRAS!BO:BO,V88,COMPRAS!DD:DD,"SI")+SUMIFS(COMPRAS!BY:BY,COMPRAS!BX:BX,V88,COMPRAS!DD:DD,"SI")</f>
        <v>0</v>
      </c>
      <c r="Y88" s="945"/>
      <c r="Z88" s="945"/>
      <c r="AA88" s="945"/>
      <c r="AB88" s="130"/>
      <c r="AC88" s="226"/>
      <c r="AD88" s="74"/>
      <c r="AE88" s="944">
        <f>SUMIFS(COMPRAS!BI:BI,COMPRAS!BF:BF,V88,COMPRAS!DD:DD,"SI")+SUMIFS(COMPRAS!BR:BR,COMPRAS!BO:BO,V88,COMPRAS!DD:DD,"SI")+SUMIFS(COMPRAS!CA:CA,COMPRAS!BX:BX,V88,COMPRAS!DD:DD,"SI")</f>
        <v>0</v>
      </c>
      <c r="AF88" s="945"/>
      <c r="AG88" s="945"/>
      <c r="AH88" s="945"/>
      <c r="AI88" s="14"/>
    </row>
    <row r="89" spans="1:36" ht="21" hidden="1" customHeight="1" outlineLevel="2" x14ac:dyDescent="0.35">
      <c r="A89" s="41"/>
      <c r="B89" s="15"/>
      <c r="C89" s="15"/>
      <c r="D89" s="15"/>
      <c r="E89" s="15"/>
      <c r="F89" s="15"/>
      <c r="G89" s="15"/>
      <c r="H89" s="15"/>
      <c r="I89" s="15"/>
      <c r="J89" s="15"/>
      <c r="K89" s="15"/>
      <c r="L89" s="15"/>
      <c r="M89" s="15"/>
      <c r="N89" s="15"/>
      <c r="O89" s="15"/>
      <c r="P89" s="15"/>
      <c r="Q89" s="15"/>
      <c r="R89" s="15"/>
      <c r="S89" s="15"/>
      <c r="T89" s="15"/>
      <c r="U89" s="245" t="s">
        <v>140</v>
      </c>
      <c r="V89" s="246" t="s">
        <v>139</v>
      </c>
      <c r="W89" s="225"/>
      <c r="X89" s="944">
        <f>+SUMIFS(COMPRAS!BG:BG,COMPRAS!BF:BF,V89,COMPRAS!DD:DD,"SI")+SUMIFS(COMPRAS!BP:BP,COMPRAS!BO:BO,V89,COMPRAS!DD:DD,"SI")+SUMIFS(COMPRAS!BY:BY,COMPRAS!BX:BX,V89,COMPRAS!DD:DD,"SI")</f>
        <v>0</v>
      </c>
      <c r="Y89" s="945"/>
      <c r="Z89" s="945"/>
      <c r="AA89" s="945"/>
      <c r="AB89" s="130"/>
      <c r="AC89" s="226"/>
      <c r="AD89" s="74"/>
      <c r="AE89" s="944">
        <f>SUMIFS(COMPRAS!BI:BI,COMPRAS!BF:BF,V89,COMPRAS!DD:DD,"SI")+SUMIFS(COMPRAS!BR:BR,COMPRAS!BO:BO,V89,COMPRAS!DD:DD,"SI")+SUMIFS(COMPRAS!CA:CA,COMPRAS!BX:BX,V89,COMPRAS!DD:DD,"SI")</f>
        <v>0</v>
      </c>
      <c r="AF89" s="945"/>
      <c r="AG89" s="945"/>
      <c r="AH89" s="945"/>
      <c r="AI89" s="14"/>
    </row>
    <row r="90" spans="1:36" ht="21" hidden="1" customHeight="1" outlineLevel="2" x14ac:dyDescent="0.35">
      <c r="A90" s="41"/>
      <c r="B90" s="15"/>
      <c r="C90" s="15"/>
      <c r="D90" s="15"/>
      <c r="E90" s="15"/>
      <c r="F90" s="15"/>
      <c r="G90" s="15"/>
      <c r="H90" s="15"/>
      <c r="I90" s="15"/>
      <c r="J90" s="15"/>
      <c r="K90" s="15"/>
      <c r="L90" s="15"/>
      <c r="M90" s="15"/>
      <c r="N90" s="15"/>
      <c r="O90" s="15"/>
      <c r="P90" s="15"/>
      <c r="Q90" s="15"/>
      <c r="R90" s="15"/>
      <c r="S90" s="15"/>
      <c r="T90" s="15"/>
      <c r="U90" s="245" t="s">
        <v>1053</v>
      </c>
      <c r="V90" s="246" t="s">
        <v>1052</v>
      </c>
      <c r="W90" s="225"/>
      <c r="X90" s="944">
        <f>+SUMIFS(COMPRAS!BG:BG,COMPRAS!BF:BF,V90,COMPRAS!DD:DD,"SI")+SUMIFS(COMPRAS!BP:BP,COMPRAS!BO:BO,V90,COMPRAS!DD:DD,"SI")+SUMIFS(COMPRAS!BY:BY,COMPRAS!BX:BX,V90,COMPRAS!DD:DD,"SI")</f>
        <v>0</v>
      </c>
      <c r="Y90" s="945"/>
      <c r="Z90" s="945"/>
      <c r="AA90" s="945"/>
      <c r="AB90" s="130"/>
      <c r="AC90" s="226"/>
      <c r="AD90" s="74"/>
      <c r="AE90" s="944">
        <f>SUMIFS(COMPRAS!BI:BI,COMPRAS!BF:BF,V90,COMPRAS!DD:DD,"SI")+SUMIFS(COMPRAS!BR:BR,COMPRAS!BO:BO,V90,COMPRAS!DD:DD,"SI")+SUMIFS(COMPRAS!CA:CA,COMPRAS!BX:BX,V90,COMPRAS!DD:DD,"SI")</f>
        <v>0</v>
      </c>
      <c r="AF90" s="945"/>
      <c r="AG90" s="945"/>
      <c r="AH90" s="945"/>
      <c r="AI90" s="14"/>
    </row>
    <row r="91" spans="1:36" ht="21" customHeight="1" outlineLevel="1" collapsed="1" x14ac:dyDescent="0.35">
      <c r="A91" s="41" t="s">
        <v>2365</v>
      </c>
      <c r="B91" s="15"/>
      <c r="C91" s="15"/>
      <c r="D91" s="15"/>
      <c r="E91" s="15"/>
      <c r="F91" s="15"/>
      <c r="G91" s="15"/>
      <c r="H91" s="15"/>
      <c r="I91" s="15"/>
      <c r="J91" s="15"/>
      <c r="K91" s="15"/>
      <c r="L91" s="15"/>
      <c r="M91" s="15"/>
      <c r="N91" s="15"/>
      <c r="O91" s="15"/>
      <c r="P91" s="15"/>
      <c r="Q91" s="15"/>
      <c r="R91" s="15"/>
      <c r="S91" s="15"/>
      <c r="T91" s="15"/>
      <c r="U91" s="130"/>
      <c r="V91" s="54">
        <v>3230</v>
      </c>
      <c r="W91" s="225" t="s">
        <v>773</v>
      </c>
      <c r="X91" s="944">
        <f>SUM(X92:AA97)</f>
        <v>0</v>
      </c>
      <c r="Y91" s="945"/>
      <c r="Z91" s="945"/>
      <c r="AA91" s="945"/>
      <c r="AB91" s="130"/>
      <c r="AC91" s="951"/>
      <c r="AD91" s="952"/>
      <c r="AE91" s="952"/>
      <c r="AF91" s="952"/>
      <c r="AG91" s="952"/>
      <c r="AH91" s="952"/>
      <c r="AI91" s="953"/>
      <c r="AJ91" s="270"/>
    </row>
    <row r="92" spans="1:36" ht="21" hidden="1" customHeight="1" outlineLevel="2" x14ac:dyDescent="0.35">
      <c r="A92" s="41"/>
      <c r="B92" s="15"/>
      <c r="C92" s="15"/>
      <c r="D92" s="15"/>
      <c r="E92" s="15"/>
      <c r="F92" s="15"/>
      <c r="G92" s="15"/>
      <c r="H92" s="15"/>
      <c r="I92" s="15"/>
      <c r="J92" s="15"/>
      <c r="K92" s="15"/>
      <c r="L92" s="15"/>
      <c r="M92" s="15"/>
      <c r="N92" s="15"/>
      <c r="O92" s="15"/>
      <c r="P92" s="15"/>
      <c r="Q92" s="15"/>
      <c r="R92" s="15"/>
      <c r="S92" s="15"/>
      <c r="T92" s="15"/>
      <c r="U92" s="245" t="s">
        <v>116</v>
      </c>
      <c r="V92" s="246" t="s">
        <v>115</v>
      </c>
      <c r="W92" s="225"/>
      <c r="X92" s="944">
        <f>+SUMIFS(COMPRAS!BG:BG,COMPRAS!BF:BF,V92,COMPRAS!DD:DD,"SI")+SUMIFS(COMPRAS!BP:BP,COMPRAS!BO:BO,V92,COMPRAS!DD:DD,"SI")+SUMIFS(COMPRAS!BY:BY,COMPRAS!BX:BX,V92,COMPRAS!DD:DD,"SI")</f>
        <v>0</v>
      </c>
      <c r="Y92" s="945"/>
      <c r="Z92" s="945"/>
      <c r="AA92" s="945"/>
      <c r="AB92" s="130"/>
      <c r="AC92" s="1081"/>
      <c r="AD92" s="1082"/>
      <c r="AE92" s="1082"/>
      <c r="AF92" s="1082"/>
      <c r="AG92" s="1082"/>
      <c r="AH92" s="1082"/>
      <c r="AI92" s="1083"/>
    </row>
    <row r="93" spans="1:36" ht="21" hidden="1" customHeight="1" outlineLevel="2" x14ac:dyDescent="0.35">
      <c r="A93" s="41"/>
      <c r="B93" s="15"/>
      <c r="C93" s="15"/>
      <c r="D93" s="15"/>
      <c r="E93" s="15"/>
      <c r="F93" s="15"/>
      <c r="G93" s="15"/>
      <c r="H93" s="15"/>
      <c r="I93" s="15"/>
      <c r="J93" s="15"/>
      <c r="K93" s="15"/>
      <c r="L93" s="15"/>
      <c r="M93" s="15"/>
      <c r="N93" s="15"/>
      <c r="O93" s="15"/>
      <c r="P93" s="15"/>
      <c r="Q93" s="15"/>
      <c r="R93" s="15"/>
      <c r="S93" s="15"/>
      <c r="T93" s="15"/>
      <c r="U93" s="245" t="s">
        <v>128</v>
      </c>
      <c r="V93" s="246" t="s">
        <v>127</v>
      </c>
      <c r="W93" s="225"/>
      <c r="X93" s="944">
        <f>+SUMIFS(COMPRAS!BG:BG,COMPRAS!BF:BF,V93,COMPRAS!DD:DD,"SI")+SUMIFS(COMPRAS!BP:BP,COMPRAS!BO:BO,V93,COMPRAS!DD:DD,"SI")+SUMIFS(COMPRAS!BY:BY,COMPRAS!BX:BX,V93,COMPRAS!DD:DD,"SI")</f>
        <v>0</v>
      </c>
      <c r="Y93" s="945"/>
      <c r="Z93" s="945"/>
      <c r="AA93" s="945"/>
      <c r="AB93" s="130"/>
      <c r="AC93" s="962"/>
      <c r="AD93" s="963"/>
      <c r="AE93" s="963"/>
      <c r="AF93" s="963"/>
      <c r="AG93" s="963"/>
      <c r="AH93" s="963"/>
      <c r="AI93" s="964"/>
    </row>
    <row r="94" spans="1:36" ht="21" hidden="1" customHeight="1" outlineLevel="2" x14ac:dyDescent="0.35">
      <c r="A94" s="41"/>
      <c r="B94" s="15"/>
      <c r="C94" s="15"/>
      <c r="D94" s="15"/>
      <c r="E94" s="15"/>
      <c r="F94" s="15"/>
      <c r="G94" s="15"/>
      <c r="H94" s="15"/>
      <c r="I94" s="15"/>
      <c r="J94" s="15"/>
      <c r="K94" s="15"/>
      <c r="L94" s="15"/>
      <c r="M94" s="15"/>
      <c r="N94" s="15"/>
      <c r="O94" s="15"/>
      <c r="P94" s="15"/>
      <c r="Q94" s="15"/>
      <c r="R94" s="15"/>
      <c r="S94" s="15"/>
      <c r="T94" s="15"/>
      <c r="U94" s="245" t="s">
        <v>130</v>
      </c>
      <c r="V94" s="246" t="s">
        <v>129</v>
      </c>
      <c r="W94" s="225"/>
      <c r="X94" s="944">
        <f>+SUMIFS(COMPRAS!BG:BG,COMPRAS!BF:BF,V94,COMPRAS!DD:DD,"SI")+SUMIFS(COMPRAS!BP:BP,COMPRAS!BO:BO,V94,COMPRAS!DD:DD,"SI")+SUMIFS(COMPRAS!BY:BY,COMPRAS!BX:BX,V94,COMPRAS!DD:DD,"SI")</f>
        <v>0</v>
      </c>
      <c r="Y94" s="945"/>
      <c r="Z94" s="945"/>
      <c r="AA94" s="945"/>
      <c r="AB94" s="130"/>
      <c r="AC94" s="962"/>
      <c r="AD94" s="963"/>
      <c r="AE94" s="963"/>
      <c r="AF94" s="963"/>
      <c r="AG94" s="963"/>
      <c r="AH94" s="963"/>
      <c r="AI94" s="964"/>
    </row>
    <row r="95" spans="1:36" ht="21" hidden="1" customHeight="1" outlineLevel="2" x14ac:dyDescent="0.35">
      <c r="A95" s="41"/>
      <c r="B95" s="15"/>
      <c r="C95" s="15"/>
      <c r="D95" s="15"/>
      <c r="E95" s="15"/>
      <c r="F95" s="15"/>
      <c r="G95" s="15"/>
      <c r="H95" s="15"/>
      <c r="I95" s="15"/>
      <c r="J95" s="15"/>
      <c r="K95" s="15"/>
      <c r="L95" s="15"/>
      <c r="M95" s="15"/>
      <c r="N95" s="15"/>
      <c r="O95" s="15"/>
      <c r="P95" s="15"/>
      <c r="Q95" s="15"/>
      <c r="R95" s="15"/>
      <c r="S95" s="15"/>
      <c r="T95" s="15"/>
      <c r="U95" s="245" t="s">
        <v>136</v>
      </c>
      <c r="V95" s="246" t="s">
        <v>135</v>
      </c>
      <c r="W95" s="225"/>
      <c r="X95" s="944">
        <f>+SUMIFS(COMPRAS!BG:BG,COMPRAS!BF:BF,V95,COMPRAS!DD:DD,"SI")+SUMIFS(COMPRAS!BP:BP,COMPRAS!BO:BO,V95,COMPRAS!DD:DD,"SI")+SUMIFS(COMPRAS!BY:BY,COMPRAS!BX:BX,V95,COMPRAS!DD:DD,"SI")</f>
        <v>0</v>
      </c>
      <c r="Y95" s="945"/>
      <c r="Z95" s="945"/>
      <c r="AA95" s="945"/>
      <c r="AB95" s="130"/>
      <c r="AC95" s="962"/>
      <c r="AD95" s="963"/>
      <c r="AE95" s="963"/>
      <c r="AF95" s="963"/>
      <c r="AG95" s="963"/>
      <c r="AH95" s="963"/>
      <c r="AI95" s="964"/>
    </row>
    <row r="96" spans="1:36" ht="21" hidden="1" customHeight="1" outlineLevel="2" x14ac:dyDescent="0.35">
      <c r="A96" s="41"/>
      <c r="B96" s="15"/>
      <c r="C96" s="15"/>
      <c r="D96" s="15"/>
      <c r="E96" s="15"/>
      <c r="F96" s="15"/>
      <c r="G96" s="15"/>
      <c r="H96" s="15"/>
      <c r="I96" s="15"/>
      <c r="J96" s="15"/>
      <c r="K96" s="15"/>
      <c r="L96" s="15"/>
      <c r="M96" s="15"/>
      <c r="N96" s="15"/>
      <c r="O96" s="15"/>
      <c r="P96" s="15"/>
      <c r="Q96" s="15"/>
      <c r="R96" s="15"/>
      <c r="S96" s="15"/>
      <c r="T96" s="15"/>
      <c r="U96" s="245" t="s">
        <v>1049</v>
      </c>
      <c r="V96" s="246" t="s">
        <v>1048</v>
      </c>
      <c r="W96" s="225"/>
      <c r="X96" s="944">
        <f>+SUMIFS(COMPRAS!BG:BG,COMPRAS!BF:BF,V96,COMPRAS!DD:DD,"SI")+SUMIFS(COMPRAS!BP:BP,COMPRAS!BO:BO,V96,COMPRAS!DD:DD,"SI")+SUMIFS(COMPRAS!BY:BY,COMPRAS!BX:BX,V96,COMPRAS!DD:DD,"SI")</f>
        <v>0</v>
      </c>
      <c r="Y96" s="945"/>
      <c r="Z96" s="945"/>
      <c r="AA96" s="945"/>
      <c r="AB96" s="130"/>
      <c r="AC96" s="962"/>
      <c r="AD96" s="963"/>
      <c r="AE96" s="963"/>
      <c r="AF96" s="963"/>
      <c r="AG96" s="963"/>
      <c r="AH96" s="963"/>
      <c r="AI96" s="964"/>
    </row>
    <row r="97" spans="1:36" ht="21" hidden="1" customHeight="1" outlineLevel="2" x14ac:dyDescent="0.35">
      <c r="A97" s="41"/>
      <c r="B97" s="15"/>
      <c r="C97" s="15"/>
      <c r="D97" s="15"/>
      <c r="E97" s="15"/>
      <c r="F97" s="15"/>
      <c r="G97" s="15"/>
      <c r="H97" s="15"/>
      <c r="I97" s="15"/>
      <c r="J97" s="15"/>
      <c r="K97" s="15"/>
      <c r="L97" s="15"/>
      <c r="M97" s="15"/>
      <c r="N97" s="15"/>
      <c r="O97" s="15"/>
      <c r="P97" s="15"/>
      <c r="Q97" s="15"/>
      <c r="R97" s="15"/>
      <c r="S97" s="15"/>
      <c r="T97" s="15"/>
      <c r="U97" s="245" t="s">
        <v>1051</v>
      </c>
      <c r="V97" s="246" t="s">
        <v>1050</v>
      </c>
      <c r="W97" s="225"/>
      <c r="X97" s="944">
        <f>+SUMIFS(COMPRAS!BG:BG,COMPRAS!BF:BF,V97,COMPRAS!DD:DD,"SI")+SUMIFS(COMPRAS!BP:BP,COMPRAS!BO:BO,V97,COMPRAS!DD:DD,"SI")+SUMIFS(COMPRAS!BY:BY,COMPRAS!BX:BX,V97,COMPRAS!DD:DD,"SI")</f>
        <v>0</v>
      </c>
      <c r="Y97" s="945"/>
      <c r="Z97" s="945"/>
      <c r="AA97" s="945"/>
      <c r="AB97" s="130"/>
      <c r="AC97" s="951"/>
      <c r="AD97" s="952"/>
      <c r="AE97" s="952"/>
      <c r="AF97" s="952"/>
      <c r="AG97" s="952"/>
      <c r="AH97" s="952"/>
      <c r="AI97" s="953"/>
    </row>
    <row r="98" spans="1:36" ht="21" customHeight="1" outlineLevel="1" collapsed="1" x14ac:dyDescent="0.35">
      <c r="A98" s="1072" t="s">
        <v>1298</v>
      </c>
      <c r="B98" s="1073"/>
      <c r="C98" s="1074"/>
      <c r="D98" s="15" t="s">
        <v>974</v>
      </c>
      <c r="E98" s="15"/>
      <c r="F98" s="15"/>
      <c r="G98" s="15"/>
      <c r="H98" s="15"/>
      <c r="I98" s="15"/>
      <c r="J98" s="15"/>
      <c r="K98" s="15"/>
      <c r="L98" s="15"/>
      <c r="M98" s="15"/>
      <c r="N98" s="15"/>
      <c r="O98" s="15"/>
      <c r="P98" s="15"/>
      <c r="Q98" s="15"/>
      <c r="R98" s="15"/>
      <c r="S98" s="15"/>
      <c r="T98" s="15"/>
      <c r="U98" s="130"/>
      <c r="V98" s="54">
        <v>325</v>
      </c>
      <c r="W98" s="225" t="s">
        <v>773</v>
      </c>
      <c r="X98" s="944">
        <f>SUM(X99:AA100)</f>
        <v>0</v>
      </c>
      <c r="Y98" s="945"/>
      <c r="Z98" s="945"/>
      <c r="AA98" s="945"/>
      <c r="AB98" s="130"/>
      <c r="AC98" s="111">
        <v>375</v>
      </c>
      <c r="AD98" s="74" t="s">
        <v>773</v>
      </c>
      <c r="AE98" s="946">
        <f>SUM(AE99:AH100)</f>
        <v>0</v>
      </c>
      <c r="AF98" s="947"/>
      <c r="AG98" s="947"/>
      <c r="AH98" s="947"/>
      <c r="AI98" s="206"/>
      <c r="AJ98" s="270"/>
    </row>
    <row r="99" spans="1:36" ht="21" hidden="1" customHeight="1" outlineLevel="2" x14ac:dyDescent="0.35">
      <c r="A99" s="1068"/>
      <c r="B99" s="980"/>
      <c r="C99" s="988"/>
      <c r="D99" s="15"/>
      <c r="E99" s="15"/>
      <c r="F99" s="15"/>
      <c r="G99" s="15"/>
      <c r="H99" s="15"/>
      <c r="I99" s="15"/>
      <c r="J99" s="15"/>
      <c r="K99" s="15"/>
      <c r="L99" s="15"/>
      <c r="M99" s="15"/>
      <c r="N99" s="15"/>
      <c r="O99" s="15"/>
      <c r="P99" s="15"/>
      <c r="Q99" s="15"/>
      <c r="R99" s="15"/>
      <c r="S99" s="15"/>
      <c r="T99" s="15"/>
      <c r="U99" s="245" t="s">
        <v>141</v>
      </c>
      <c r="V99" s="246">
        <v>325</v>
      </c>
      <c r="W99" s="225"/>
      <c r="X99" s="944">
        <f>+SUMIFS(COMPRAS!BG:BG,COMPRAS!BF:BF,V99,COMPRAS!DD:DD,"SI")+SUMIFS(COMPRAS!BP:BP,COMPRAS!BO:BO,V99,COMPRAS!DD:DD,"SI")+SUMIFS(COMPRAS!BY:BY,COMPRAS!BX:BX,V99,COMPRAS!DD:DD,"SI")</f>
        <v>0</v>
      </c>
      <c r="Y99" s="945"/>
      <c r="Z99" s="945"/>
      <c r="AA99" s="945"/>
      <c r="AB99" s="130"/>
      <c r="AC99" s="226"/>
      <c r="AD99" s="74"/>
      <c r="AE99" s="944">
        <f>SUMIFS(COMPRAS!BI:BI,COMPRAS!BF:BF,V99,COMPRAS!DD:DD,"SI")+SUMIFS(COMPRAS!BR:BR,COMPRAS!BO:BO,V99,COMPRAS!DD:DD,"SI")+SUMIFS(COMPRAS!CA:CA,COMPRAS!BX:BX,V99,COMPRAS!DD:DD,"SI")</f>
        <v>0</v>
      </c>
      <c r="AF99" s="945"/>
      <c r="AG99" s="945"/>
      <c r="AH99" s="945"/>
      <c r="AI99" s="14"/>
    </row>
    <row r="100" spans="1:36" ht="21" hidden="1" customHeight="1" outlineLevel="2" x14ac:dyDescent="0.35">
      <c r="A100" s="1068"/>
      <c r="B100" s="980"/>
      <c r="C100" s="988"/>
      <c r="D100" s="15"/>
      <c r="E100" s="15"/>
      <c r="F100" s="15"/>
      <c r="G100" s="15"/>
      <c r="H100" s="15"/>
      <c r="I100" s="15"/>
      <c r="J100" s="15"/>
      <c r="K100" s="15"/>
      <c r="L100" s="15"/>
      <c r="M100" s="15"/>
      <c r="N100" s="15"/>
      <c r="O100" s="15"/>
      <c r="P100" s="15"/>
      <c r="Q100" s="15"/>
      <c r="R100" s="15"/>
      <c r="S100" s="15"/>
      <c r="T100" s="15"/>
      <c r="U100" s="245" t="s">
        <v>143</v>
      </c>
      <c r="V100" s="246" t="s">
        <v>142</v>
      </c>
      <c r="W100" s="225"/>
      <c r="X100" s="944">
        <f>+SUMIFS(COMPRAS!BG:BG,COMPRAS!BF:BF,V100,COMPRAS!DD:DD,"SI")+SUMIFS(COMPRAS!BP:BP,COMPRAS!BO:BO,V100,COMPRAS!DD:DD,"SI")+SUMIFS(COMPRAS!BY:BY,COMPRAS!BX:BX,V100,COMPRAS!DD:DD,"SI")</f>
        <v>0</v>
      </c>
      <c r="Y100" s="945"/>
      <c r="Z100" s="945"/>
      <c r="AA100" s="945"/>
      <c r="AB100" s="130"/>
      <c r="AC100" s="226"/>
      <c r="AD100" s="74"/>
      <c r="AE100" s="944">
        <f>SUMIFS(COMPRAS!BI:BI,COMPRAS!BF:BF,V100,COMPRAS!DD:DD,"SI")+SUMIFS(COMPRAS!BR:BR,COMPRAS!BO:BO,V100,COMPRAS!DD:DD,"SI")+SUMIFS(COMPRAS!CA:CA,COMPRAS!BX:BX,V100,COMPRAS!DD:DD,"SI")</f>
        <v>0</v>
      </c>
      <c r="AF100" s="945"/>
      <c r="AG100" s="945"/>
      <c r="AH100" s="945"/>
      <c r="AI100" s="14"/>
    </row>
    <row r="101" spans="1:36" ht="21" customHeight="1" outlineLevel="1" collapsed="1" x14ac:dyDescent="0.35">
      <c r="A101" s="1068"/>
      <c r="B101" s="980"/>
      <c r="C101" s="988"/>
      <c r="D101" s="37" t="s">
        <v>973</v>
      </c>
      <c r="E101" s="37"/>
      <c r="F101" s="15"/>
      <c r="G101" s="15"/>
      <c r="H101" s="15"/>
      <c r="I101" s="15"/>
      <c r="J101" s="15"/>
      <c r="K101" s="15"/>
      <c r="L101" s="15"/>
      <c r="M101" s="15"/>
      <c r="N101" s="15"/>
      <c r="O101" s="15"/>
      <c r="P101" s="15"/>
      <c r="Q101" s="15"/>
      <c r="R101" s="15"/>
      <c r="S101" s="15"/>
      <c r="T101" s="15"/>
      <c r="U101" s="245"/>
      <c r="V101" s="54">
        <v>326</v>
      </c>
      <c r="W101" s="225" t="s">
        <v>773</v>
      </c>
      <c r="X101" s="944">
        <f>+SUMIFS(COMPRAS!BG:BG,COMPRAS!BF:BF,V101,COMPRAS!DD:DD,"SI")+SUMIFS(COMPRAS!BP:BP,COMPRAS!BO:BO,V101,COMPRAS!DD:DD,"SI")+SUMIFS(COMPRAS!BY:BY,COMPRAS!BX:BX,V101,COMPRAS!DD:DD,"SI")</f>
        <v>0</v>
      </c>
      <c r="Y101" s="945"/>
      <c r="Z101" s="945"/>
      <c r="AA101" s="945"/>
      <c r="AB101" s="130"/>
      <c r="AC101" s="226">
        <v>376</v>
      </c>
      <c r="AD101" s="74" t="s">
        <v>773</v>
      </c>
      <c r="AE101" s="944">
        <f>SUMIFS(COMPRAS!BI:BI,COMPRAS!BF:BF,V101,COMPRAS!DD:DD,"SI")+SUMIFS(COMPRAS!BR:BR,COMPRAS!BO:BO,V101,COMPRAS!DD:DD,"SI")+SUMIFS(COMPRAS!CA:CA,COMPRAS!BX:BX,V101,COMPRAS!DD:DD,"SI")</f>
        <v>0</v>
      </c>
      <c r="AF101" s="945"/>
      <c r="AG101" s="945"/>
      <c r="AH101" s="945"/>
      <c r="AI101" s="14"/>
      <c r="AJ101" s="270"/>
    </row>
    <row r="102" spans="1:36" ht="21" customHeight="1" outlineLevel="1" x14ac:dyDescent="0.35">
      <c r="A102" s="1068"/>
      <c r="B102" s="980"/>
      <c r="C102" s="988"/>
      <c r="D102" s="37" t="s">
        <v>972</v>
      </c>
      <c r="E102" s="37"/>
      <c r="F102" s="15"/>
      <c r="G102" s="15"/>
      <c r="H102" s="15"/>
      <c r="I102" s="15"/>
      <c r="J102" s="15"/>
      <c r="K102" s="15"/>
      <c r="L102" s="15"/>
      <c r="M102" s="15"/>
      <c r="N102" s="15"/>
      <c r="O102" s="15"/>
      <c r="P102" s="15"/>
      <c r="Q102" s="15"/>
      <c r="R102" s="15"/>
      <c r="S102" s="15"/>
      <c r="T102" s="15"/>
      <c r="U102" s="245"/>
      <c r="V102" s="54">
        <v>327</v>
      </c>
      <c r="W102" s="225" t="s">
        <v>773</v>
      </c>
      <c r="X102" s="944">
        <f>+SUMIFS(COMPRAS!BG:BG,COMPRAS!BF:BF,V102,COMPRAS!DD:DD,"SI")+SUMIFS(COMPRAS!BP:BP,COMPRAS!BO:BO,V102,COMPRAS!DD:DD,"SI")+SUMIFS(COMPRAS!BY:BY,COMPRAS!BX:BX,V102,COMPRAS!DD:DD,"SI")</f>
        <v>0</v>
      </c>
      <c r="Y102" s="945"/>
      <c r="Z102" s="945"/>
      <c r="AA102" s="945"/>
      <c r="AB102" s="130"/>
      <c r="AC102" s="226">
        <v>377</v>
      </c>
      <c r="AD102" s="74" t="s">
        <v>773</v>
      </c>
      <c r="AE102" s="944">
        <f>SUMIFS(COMPRAS!BI:BI,COMPRAS!BF:BF,V102,COMPRAS!DD:DD,"SI")+SUMIFS(COMPRAS!BR:BR,COMPRAS!BO:BO,V102,COMPRAS!DD:DD,"SI")+SUMIFS(COMPRAS!CA:CA,COMPRAS!BX:BX,V102,COMPRAS!DD:DD,"SI")</f>
        <v>0</v>
      </c>
      <c r="AF102" s="945"/>
      <c r="AG102" s="945"/>
      <c r="AH102" s="945"/>
      <c r="AI102" s="14"/>
      <c r="AJ102" s="270"/>
    </row>
    <row r="103" spans="1:36" ht="21" customHeight="1" outlineLevel="1" x14ac:dyDescent="0.35">
      <c r="A103" s="1068"/>
      <c r="B103" s="980"/>
      <c r="C103" s="988"/>
      <c r="D103" s="37" t="s">
        <v>971</v>
      </c>
      <c r="E103" s="37"/>
      <c r="F103" s="15"/>
      <c r="G103" s="15"/>
      <c r="H103" s="15"/>
      <c r="I103" s="15"/>
      <c r="J103" s="15"/>
      <c r="K103" s="15"/>
      <c r="L103" s="15"/>
      <c r="M103" s="15"/>
      <c r="N103" s="15"/>
      <c r="O103" s="15"/>
      <c r="P103" s="15"/>
      <c r="Q103" s="15"/>
      <c r="R103" s="15"/>
      <c r="S103" s="15"/>
      <c r="T103" s="15"/>
      <c r="U103" s="245"/>
      <c r="V103" s="54">
        <v>328</v>
      </c>
      <c r="W103" s="225" t="s">
        <v>773</v>
      </c>
      <c r="X103" s="944">
        <f>+SUMIFS(COMPRAS!BG:BG,COMPRAS!BF:BF,V103,COMPRAS!DD:DD,"SI")+SUMIFS(COMPRAS!BP:BP,COMPRAS!BO:BO,V103,COMPRAS!DD:DD,"SI")+SUMIFS(COMPRAS!BY:BY,COMPRAS!BX:BX,V103,COMPRAS!DD:DD,"SI")</f>
        <v>0</v>
      </c>
      <c r="Y103" s="945"/>
      <c r="Z103" s="945"/>
      <c r="AA103" s="945"/>
      <c r="AB103" s="130"/>
      <c r="AC103" s="226">
        <v>378</v>
      </c>
      <c r="AD103" s="74" t="s">
        <v>773</v>
      </c>
      <c r="AE103" s="944">
        <f>SUMIFS(COMPRAS!BI:BI,COMPRAS!BF:BF,V103,COMPRAS!DD:DD,"SI")+SUMIFS(COMPRAS!BR:BR,COMPRAS!BO:BO,V103,COMPRAS!DD:DD,"SI")+SUMIFS(COMPRAS!CA:CA,COMPRAS!BX:BX,V103,COMPRAS!DD:DD,"SI")</f>
        <v>0</v>
      </c>
      <c r="AF103" s="945"/>
      <c r="AG103" s="945"/>
      <c r="AH103" s="945"/>
      <c r="AI103" s="14"/>
      <c r="AJ103" s="270"/>
    </row>
    <row r="104" spans="1:36" ht="21" customHeight="1" outlineLevel="1" x14ac:dyDescent="0.35">
      <c r="A104" s="1068"/>
      <c r="B104" s="980"/>
      <c r="C104" s="988"/>
      <c r="D104" s="37" t="s">
        <v>970</v>
      </c>
      <c r="E104" s="37"/>
      <c r="F104" s="15"/>
      <c r="G104" s="15"/>
      <c r="H104" s="15"/>
      <c r="I104" s="15"/>
      <c r="J104" s="15"/>
      <c r="K104" s="15"/>
      <c r="L104" s="15"/>
      <c r="M104" s="15"/>
      <c r="N104" s="15"/>
      <c r="O104" s="15"/>
      <c r="P104" s="15"/>
      <c r="Q104" s="15"/>
      <c r="R104" s="15"/>
      <c r="S104" s="15"/>
      <c r="T104" s="15"/>
      <c r="U104" s="245"/>
      <c r="V104" s="54">
        <v>329</v>
      </c>
      <c r="W104" s="225" t="s">
        <v>773</v>
      </c>
      <c r="X104" s="944">
        <f>+SUMIFS(COMPRAS!BG:BG,COMPRAS!BF:BF,V104,COMPRAS!DD:DD,"SI")+SUMIFS(COMPRAS!BP:BP,COMPRAS!BO:BO,V104,COMPRAS!DD:DD,"SI")+SUMIFS(COMPRAS!BY:BY,COMPRAS!BX:BX,V104,COMPRAS!DD:DD,"SI")</f>
        <v>0</v>
      </c>
      <c r="Y104" s="945"/>
      <c r="Z104" s="945"/>
      <c r="AA104" s="945"/>
      <c r="AB104" s="130"/>
      <c r="AC104" s="226">
        <v>379</v>
      </c>
      <c r="AD104" s="74" t="s">
        <v>773</v>
      </c>
      <c r="AE104" s="944">
        <f>SUMIFS(COMPRAS!BI:BI,COMPRAS!BF:BF,V104,COMPRAS!DD:DD,"SI")+SUMIFS(COMPRAS!BR:BR,COMPRAS!BO:BO,V104,COMPRAS!DD:DD,"SI")+SUMIFS(COMPRAS!CA:CA,COMPRAS!BX:BX,V104,COMPRAS!DD:DD,"SI")</f>
        <v>0</v>
      </c>
      <c r="AF104" s="945"/>
      <c r="AG104" s="945"/>
      <c r="AH104" s="945"/>
      <c r="AI104" s="14"/>
      <c r="AJ104" s="270"/>
    </row>
    <row r="105" spans="1:36" ht="21" customHeight="1" outlineLevel="1" x14ac:dyDescent="0.35">
      <c r="A105" s="1068"/>
      <c r="B105" s="980"/>
      <c r="C105" s="988"/>
      <c r="D105" s="37" t="s">
        <v>969</v>
      </c>
      <c r="E105" s="37"/>
      <c r="F105" s="15"/>
      <c r="G105" s="15"/>
      <c r="H105" s="15"/>
      <c r="I105" s="15"/>
      <c r="J105" s="15"/>
      <c r="K105" s="15"/>
      <c r="L105" s="15"/>
      <c r="M105" s="15"/>
      <c r="N105" s="15"/>
      <c r="O105" s="15"/>
      <c r="P105" s="15"/>
      <c r="Q105" s="15"/>
      <c r="R105" s="15"/>
      <c r="S105" s="15"/>
      <c r="T105" s="15"/>
      <c r="U105" s="245"/>
      <c r="V105" s="54">
        <v>330</v>
      </c>
      <c r="W105" s="225" t="s">
        <v>773</v>
      </c>
      <c r="X105" s="944">
        <f>+SUMIFS(COMPRAS!BG:BG,COMPRAS!BF:BF,V105,COMPRAS!DD:DD,"SI")+SUMIFS(COMPRAS!BP:BP,COMPRAS!BO:BO,V105,COMPRAS!DD:DD,"SI")+SUMIFS(COMPRAS!BY:BY,COMPRAS!BX:BX,V105,COMPRAS!DD:DD,"SI")</f>
        <v>0</v>
      </c>
      <c r="Y105" s="945"/>
      <c r="Z105" s="945"/>
      <c r="AA105" s="945"/>
      <c r="AB105" s="130"/>
      <c r="AC105" s="226">
        <v>380</v>
      </c>
      <c r="AD105" s="74" t="s">
        <v>773</v>
      </c>
      <c r="AE105" s="944">
        <f>SUMIFS(COMPRAS!BI:BI,COMPRAS!BF:BF,V105,COMPRAS!DD:DD,"SI")+SUMIFS(COMPRAS!BR:BR,COMPRAS!BO:BO,V105,COMPRAS!DD:DD,"SI")+SUMIFS(COMPRAS!CA:CA,COMPRAS!BX:BX,V105,COMPRAS!DD:DD,"SI")</f>
        <v>0</v>
      </c>
      <c r="AF105" s="945"/>
      <c r="AG105" s="945"/>
      <c r="AH105" s="945"/>
      <c r="AI105" s="14"/>
      <c r="AJ105" s="270"/>
    </row>
    <row r="106" spans="1:36" ht="21" customHeight="1" outlineLevel="1" x14ac:dyDescent="0.35">
      <c r="A106" s="1069"/>
      <c r="B106" s="1070"/>
      <c r="C106" s="1071"/>
      <c r="D106" s="37" t="s">
        <v>2172</v>
      </c>
      <c r="E106" s="37"/>
      <c r="F106" s="15"/>
      <c r="G106" s="15"/>
      <c r="H106" s="15"/>
      <c r="I106" s="15"/>
      <c r="J106" s="15"/>
      <c r="K106" s="15"/>
      <c r="L106" s="15"/>
      <c r="M106" s="15"/>
      <c r="N106" s="15"/>
      <c r="O106" s="15"/>
      <c r="P106" s="15"/>
      <c r="Q106" s="15"/>
      <c r="R106" s="15"/>
      <c r="S106" s="15"/>
      <c r="T106" s="15"/>
      <c r="U106" s="245"/>
      <c r="V106" s="54">
        <v>331</v>
      </c>
      <c r="W106" s="225" t="s">
        <v>773</v>
      </c>
      <c r="X106" s="944">
        <f>+SUMIFS(COMPRAS!BG:BG,COMPRAS!BF:BF,V106,COMPRAS!DD:DD,"SI")+SUMIFS(COMPRAS!BP:BP,COMPRAS!BO:BO,V106,COMPRAS!DD:DD,"SI")+SUMIFS(COMPRAS!BY:BY,COMPRAS!BX:BX,V106,COMPRAS!DD:DD,"SI")</f>
        <v>0</v>
      </c>
      <c r="Y106" s="945"/>
      <c r="Z106" s="945"/>
      <c r="AA106" s="945"/>
      <c r="AB106" s="130"/>
      <c r="AC106" s="1047"/>
      <c r="AD106" s="1048"/>
      <c r="AE106" s="1048"/>
      <c r="AF106" s="1048"/>
      <c r="AG106" s="1048"/>
      <c r="AH106" s="1048"/>
      <c r="AI106" s="1049"/>
    </row>
    <row r="107" spans="1:36" ht="20.5" customHeight="1" outlineLevel="1" x14ac:dyDescent="0.35">
      <c r="A107" s="248" t="s">
        <v>2366</v>
      </c>
      <c r="B107" s="37"/>
      <c r="C107" s="37"/>
      <c r="D107" s="37"/>
      <c r="E107" s="15"/>
      <c r="F107" s="15"/>
      <c r="G107" s="15"/>
      <c r="H107" s="15"/>
      <c r="I107" s="15"/>
      <c r="J107" s="15"/>
      <c r="K107" s="15"/>
      <c r="L107" s="15"/>
      <c r="M107" s="15"/>
      <c r="N107" s="15"/>
      <c r="O107" s="15"/>
      <c r="P107" s="15"/>
      <c r="Q107" s="15"/>
      <c r="R107" s="15"/>
      <c r="S107" s="15"/>
      <c r="T107" s="15"/>
      <c r="U107" s="245"/>
      <c r="V107" s="54">
        <v>333</v>
      </c>
      <c r="W107" s="225" t="s">
        <v>773</v>
      </c>
      <c r="X107" s="944">
        <f>+SUMIFS(COMPRAS!BG:BG,COMPRAS!BF:BF,V107,COMPRAS!DD:DD,"SI")+SUMIFS(COMPRAS!BP:BP,COMPRAS!BO:BO,V107,COMPRAS!DD:DD,"SI")+SUMIFS(COMPRAS!BY:BY,COMPRAS!BX:BX,V107,COMPRAS!DD:DD,"SI")</f>
        <v>0</v>
      </c>
      <c r="Y107" s="945"/>
      <c r="Z107" s="945"/>
      <c r="AA107" s="945"/>
      <c r="AB107" s="130"/>
      <c r="AC107" s="226">
        <v>383</v>
      </c>
      <c r="AD107" s="74" t="s">
        <v>773</v>
      </c>
      <c r="AE107" s="944">
        <f>SUMIFS(COMPRAS!BI:BI,COMPRAS!BF:BF,V107,COMPRAS!DD:DD,"SI")+SUMIFS(COMPRAS!BR:BR,COMPRAS!BO:BO,V107,COMPRAS!DD:DD,"SI")+SUMIFS(COMPRAS!CA:CA,COMPRAS!BX:BX,V107,COMPRAS!DD:DD,"SI")</f>
        <v>0</v>
      </c>
      <c r="AF107" s="945"/>
      <c r="AG107" s="945"/>
      <c r="AH107" s="945"/>
      <c r="AI107" s="14"/>
      <c r="AJ107" s="270"/>
    </row>
    <row r="108" spans="1:36" ht="21" customHeight="1" outlineLevel="1" thickBot="1" x14ac:dyDescent="0.4">
      <c r="A108" s="248" t="s">
        <v>2367</v>
      </c>
      <c r="B108" s="37"/>
      <c r="C108" s="37"/>
      <c r="D108" s="37"/>
      <c r="E108" s="15"/>
      <c r="F108" s="15"/>
      <c r="G108" s="15"/>
      <c r="H108" s="15"/>
      <c r="I108" s="15"/>
      <c r="J108" s="15"/>
      <c r="K108" s="15"/>
      <c r="L108" s="15"/>
      <c r="M108" s="15"/>
      <c r="N108" s="15"/>
      <c r="O108" s="15"/>
      <c r="P108" s="15"/>
      <c r="Q108" s="15"/>
      <c r="R108" s="15"/>
      <c r="S108" s="15"/>
      <c r="T108" s="15"/>
      <c r="U108" s="245"/>
      <c r="V108" s="54">
        <v>334</v>
      </c>
      <c r="W108" s="225" t="s">
        <v>773</v>
      </c>
      <c r="X108" s="944">
        <f>+SUMIFS(COMPRAS!BG:BG,COMPRAS!BF:BF,V108,COMPRAS!DD:DD,"SI")+SUMIFS(COMPRAS!BP:BP,COMPRAS!BO:BO,V108,COMPRAS!DD:DD,"SI")+SUMIFS(COMPRAS!BY:BY,COMPRAS!BX:BX,V108,COMPRAS!DD:DD,"SI")</f>
        <v>0</v>
      </c>
      <c r="Y108" s="945"/>
      <c r="Z108" s="945"/>
      <c r="AA108" s="945"/>
      <c r="AB108" s="130"/>
      <c r="AC108" s="226">
        <v>384</v>
      </c>
      <c r="AD108" s="74" t="s">
        <v>773</v>
      </c>
      <c r="AE108" s="944">
        <f>SUMIFS(COMPRAS!BI:BI,COMPRAS!BF:BF,V108,COMPRAS!DD:DD,"SI")+SUMIFS(COMPRAS!BR:BR,COMPRAS!BO:BO,V108,COMPRAS!DD:DD,"SI")+SUMIFS(COMPRAS!CA:CA,COMPRAS!BX:BX,V108,COMPRAS!DD:DD,"SI")</f>
        <v>0</v>
      </c>
      <c r="AF108" s="945"/>
      <c r="AG108" s="945"/>
      <c r="AH108" s="945"/>
      <c r="AI108" s="14"/>
      <c r="AJ108" s="270"/>
    </row>
    <row r="109" spans="1:36" ht="21" customHeight="1" outlineLevel="1" thickBot="1" x14ac:dyDescent="0.4">
      <c r="A109" s="948" t="s">
        <v>2368</v>
      </c>
      <c r="B109" s="949"/>
      <c r="C109" s="949"/>
      <c r="D109" s="949"/>
      <c r="E109" s="949"/>
      <c r="F109" s="949"/>
      <c r="G109" s="949"/>
      <c r="H109" s="949"/>
      <c r="I109" s="949"/>
      <c r="J109" s="949"/>
      <c r="K109" s="949"/>
      <c r="L109" s="949"/>
      <c r="M109" s="949"/>
      <c r="N109" s="949"/>
      <c r="O109" s="949"/>
      <c r="P109" s="949"/>
      <c r="Q109" s="949"/>
      <c r="R109" s="949"/>
      <c r="S109" s="949"/>
      <c r="T109" s="949"/>
      <c r="U109" s="949"/>
      <c r="V109" s="949"/>
      <c r="W109" s="949"/>
      <c r="X109" s="949"/>
      <c r="Y109" s="949"/>
      <c r="Z109" s="949"/>
      <c r="AA109" s="949"/>
      <c r="AB109" s="949"/>
      <c r="AC109" s="949"/>
      <c r="AD109" s="949"/>
      <c r="AE109" s="949"/>
      <c r="AF109" s="949"/>
      <c r="AG109" s="949"/>
      <c r="AH109" s="949"/>
      <c r="AI109" s="950"/>
    </row>
    <row r="110" spans="1:36" ht="21" customHeight="1" outlineLevel="1" thickBot="1" x14ac:dyDescent="0.4">
      <c r="A110" s="41" t="s">
        <v>2369</v>
      </c>
      <c r="B110" s="37"/>
      <c r="C110" s="37"/>
      <c r="D110" s="37"/>
      <c r="E110" s="15"/>
      <c r="F110" s="15"/>
      <c r="G110" s="15"/>
      <c r="H110" s="15"/>
      <c r="I110" s="15"/>
      <c r="J110" s="15"/>
      <c r="K110" s="15"/>
      <c r="L110" s="15"/>
      <c r="M110" s="15"/>
      <c r="N110" s="15"/>
      <c r="O110" s="15"/>
      <c r="P110" s="15"/>
      <c r="Q110" s="15"/>
      <c r="R110" s="15"/>
      <c r="S110" s="15"/>
      <c r="T110" s="15"/>
      <c r="U110" s="245"/>
      <c r="V110" s="54">
        <v>335</v>
      </c>
      <c r="W110" s="225" t="s">
        <v>773</v>
      </c>
      <c r="X110" s="944">
        <f>+SUMIFS(COMPRAS!BG:BG,COMPRAS!BF:BF,V110,COMPRAS!DD:DD,"SI")+SUMIFS(COMPRAS!BP:BP,COMPRAS!BO:BO,V110,COMPRAS!DD:DD,"SI")+SUMIFS(COMPRAS!BY:BY,COMPRAS!BX:BX,V110,COMPRAS!DD:DD,"SI")</f>
        <v>0</v>
      </c>
      <c r="Y110" s="945"/>
      <c r="Z110" s="945"/>
      <c r="AA110" s="945"/>
      <c r="AB110" s="130"/>
      <c r="AC110" s="226">
        <v>385</v>
      </c>
      <c r="AD110" s="74" t="s">
        <v>773</v>
      </c>
      <c r="AE110" s="944">
        <f>SUMIFS(COMPRAS!BI:BI,COMPRAS!BF:BF,V110,COMPRAS!DD:DD,"SI")+SUMIFS(COMPRAS!BR:BR,COMPRAS!BO:BO,V110,COMPRAS!DD:DD,"SI")+SUMIFS(COMPRAS!CA:CA,COMPRAS!BX:BX,V110,COMPRAS!DD:DD,"SI")</f>
        <v>0</v>
      </c>
      <c r="AF110" s="945"/>
      <c r="AG110" s="945"/>
      <c r="AH110" s="945"/>
      <c r="AI110" s="14"/>
      <c r="AJ110" s="270"/>
    </row>
    <row r="111" spans="1:36" ht="21" customHeight="1" outlineLevel="1" thickBot="1" x14ac:dyDescent="0.4">
      <c r="A111" s="948" t="s">
        <v>2370</v>
      </c>
      <c r="B111" s="949"/>
      <c r="C111" s="949"/>
      <c r="D111" s="949"/>
      <c r="E111" s="949"/>
      <c r="F111" s="949"/>
      <c r="G111" s="949"/>
      <c r="H111" s="949"/>
      <c r="I111" s="949"/>
      <c r="J111" s="949"/>
      <c r="K111" s="949"/>
      <c r="L111" s="949"/>
      <c r="M111" s="949"/>
      <c r="N111" s="949"/>
      <c r="O111" s="949"/>
      <c r="P111" s="949"/>
      <c r="Q111" s="949"/>
      <c r="R111" s="949"/>
      <c r="S111" s="949"/>
      <c r="T111" s="949"/>
      <c r="U111" s="949"/>
      <c r="V111" s="949"/>
      <c r="W111" s="949"/>
      <c r="X111" s="949"/>
      <c r="Y111" s="949"/>
      <c r="Z111" s="949"/>
      <c r="AA111" s="949"/>
      <c r="AB111" s="949"/>
      <c r="AC111" s="949"/>
      <c r="AD111" s="949"/>
      <c r="AE111" s="949"/>
      <c r="AF111" s="949"/>
      <c r="AG111" s="949"/>
      <c r="AH111" s="949"/>
      <c r="AI111" s="950"/>
    </row>
    <row r="112" spans="1:36" ht="21" customHeight="1" outlineLevel="1" thickBot="1" x14ac:dyDescent="0.4">
      <c r="A112" s="41" t="s">
        <v>2310</v>
      </c>
      <c r="B112" s="37"/>
      <c r="C112" s="37"/>
      <c r="D112" s="37"/>
      <c r="E112" s="15"/>
      <c r="F112" s="15"/>
      <c r="G112" s="15"/>
      <c r="H112" s="15"/>
      <c r="I112" s="15"/>
      <c r="J112" s="15"/>
      <c r="K112" s="15"/>
      <c r="L112" s="15"/>
      <c r="M112" s="15"/>
      <c r="N112" s="15"/>
      <c r="O112" s="15"/>
      <c r="P112" s="15"/>
      <c r="Q112" s="15"/>
      <c r="R112" s="15"/>
      <c r="S112" s="15"/>
      <c r="T112" s="15"/>
      <c r="U112" s="245"/>
      <c r="V112" s="54">
        <v>3481</v>
      </c>
      <c r="W112" s="225" t="s">
        <v>773</v>
      </c>
      <c r="X112" s="944">
        <f>+SUMIFS(COMPRAS!BG:BG,COMPRAS!BF:BF,V112,COMPRAS!DD:DD,"SI")+SUMIFS(COMPRAS!BP:BP,COMPRAS!BO:BO,V112,COMPRAS!DD:DD,"SI")+SUMIFS(COMPRAS!BY:BY,COMPRAS!BX:BX,V112,COMPRAS!DD:DD,"SI")</f>
        <v>0</v>
      </c>
      <c r="Y112" s="945"/>
      <c r="Z112" s="945"/>
      <c r="AA112" s="945"/>
      <c r="AB112" s="130"/>
      <c r="AC112" s="226">
        <v>3981</v>
      </c>
      <c r="AD112" s="74" t="s">
        <v>773</v>
      </c>
      <c r="AE112" s="944">
        <f>SUMIFS(COMPRAS!BI:BI,COMPRAS!BF:BF,V112,COMPRAS!DD:DD,"SI")+SUMIFS(COMPRAS!BR:BR,COMPRAS!BO:BO,V112,COMPRAS!DD:DD,"SI")+SUMIFS(COMPRAS!CA:CA,COMPRAS!BX:BX,V112,COMPRAS!DD:DD,"SI")</f>
        <v>0</v>
      </c>
      <c r="AF112" s="945"/>
      <c r="AG112" s="945"/>
      <c r="AH112" s="945"/>
      <c r="AI112" s="14"/>
      <c r="AJ112" s="270"/>
    </row>
    <row r="113" spans="1:36" ht="21" customHeight="1" outlineLevel="1" thickBot="1" x14ac:dyDescent="0.4">
      <c r="A113" s="948"/>
      <c r="B113" s="949"/>
      <c r="C113" s="949"/>
      <c r="D113" s="949"/>
      <c r="E113" s="949"/>
      <c r="F113" s="949"/>
      <c r="G113" s="949"/>
      <c r="H113" s="949"/>
      <c r="I113" s="949"/>
      <c r="J113" s="949"/>
      <c r="K113" s="949"/>
      <c r="L113" s="949"/>
      <c r="M113" s="949"/>
      <c r="N113" s="949"/>
      <c r="O113" s="949"/>
      <c r="P113" s="949"/>
      <c r="Q113" s="949"/>
      <c r="R113" s="949"/>
      <c r="S113" s="949"/>
      <c r="T113" s="949"/>
      <c r="U113" s="949"/>
      <c r="V113" s="949"/>
      <c r="W113" s="949"/>
      <c r="X113" s="949"/>
      <c r="Y113" s="949"/>
      <c r="Z113" s="949"/>
      <c r="AA113" s="949"/>
      <c r="AB113" s="949"/>
      <c r="AC113" s="949"/>
      <c r="AD113" s="949"/>
      <c r="AE113" s="949"/>
      <c r="AF113" s="949"/>
      <c r="AG113" s="949"/>
      <c r="AH113" s="949"/>
      <c r="AI113" s="950"/>
    </row>
    <row r="114" spans="1:36" ht="21" customHeight="1" outlineLevel="1" x14ac:dyDescent="0.35">
      <c r="A114" s="1068" t="s">
        <v>968</v>
      </c>
      <c r="B114" s="980"/>
      <c r="C114" s="988"/>
      <c r="D114" s="43" t="s">
        <v>967</v>
      </c>
      <c r="E114" s="43"/>
      <c r="F114" s="43"/>
      <c r="G114" s="43"/>
      <c r="H114" s="43"/>
      <c r="I114" s="43"/>
      <c r="J114" s="43"/>
      <c r="K114" s="43"/>
      <c r="L114" s="43"/>
      <c r="M114" s="43"/>
      <c r="N114" s="43"/>
      <c r="O114" s="43"/>
      <c r="P114" s="43"/>
      <c r="Q114" s="43"/>
      <c r="R114" s="43"/>
      <c r="S114" s="43"/>
      <c r="T114" s="43"/>
      <c r="U114" s="142"/>
      <c r="V114" s="111">
        <v>336</v>
      </c>
      <c r="W114" s="225" t="s">
        <v>773</v>
      </c>
      <c r="X114" s="946">
        <f>+SUMIFS(COMPRAS!BG:BG,COMPRAS!BF:BF,V114,COMPRAS!DD:DD,"SI")+SUMIFS(COMPRAS!BP:BP,COMPRAS!BO:BO,V114,COMPRAS!DD:DD,"SI")+SUMIFS(COMPRAS!BY:BY,COMPRAS!BX:BX,V114,COMPRAS!DD:DD,"SI")</f>
        <v>0</v>
      </c>
      <c r="Y114" s="947"/>
      <c r="Z114" s="947"/>
      <c r="AA114" s="947"/>
      <c r="AB114" s="142"/>
      <c r="AC114" s="226">
        <v>386</v>
      </c>
      <c r="AD114" s="74" t="s">
        <v>773</v>
      </c>
      <c r="AE114" s="946">
        <f>SUMIFS(COMPRAS!BI:BI,COMPRAS!BF:BF,V114,COMPRAS!DD:DD,"SI")+SUMIFS(COMPRAS!BR:BR,COMPRAS!BO:BO,V114,COMPRAS!DD:DD,"SI")+SUMIFS(COMPRAS!CA:CA,COMPRAS!BX:BX,V114,COMPRAS!DD:DD,"SI")</f>
        <v>0</v>
      </c>
      <c r="AF114" s="947"/>
      <c r="AG114" s="947"/>
      <c r="AH114" s="947"/>
      <c r="AI114" s="206"/>
      <c r="AJ114" s="270"/>
    </row>
    <row r="115" spans="1:36" ht="21" customHeight="1" outlineLevel="1" x14ac:dyDescent="0.35">
      <c r="A115" s="1069"/>
      <c r="B115" s="1070"/>
      <c r="C115" s="1071"/>
      <c r="D115" s="15" t="s">
        <v>966</v>
      </c>
      <c r="E115" s="15"/>
      <c r="F115" s="15"/>
      <c r="G115" s="15"/>
      <c r="H115" s="15"/>
      <c r="I115" s="15"/>
      <c r="J115" s="15"/>
      <c r="K115" s="15"/>
      <c r="L115" s="15"/>
      <c r="M115" s="15"/>
      <c r="N115" s="15"/>
      <c r="O115" s="15"/>
      <c r="P115" s="15"/>
      <c r="Q115" s="15"/>
      <c r="R115" s="15"/>
      <c r="S115" s="15"/>
      <c r="T115" s="15"/>
      <c r="U115" s="130"/>
      <c r="V115" s="54">
        <v>337</v>
      </c>
      <c r="W115" s="225" t="s">
        <v>773</v>
      </c>
      <c r="X115" s="944">
        <f>+SUMIFS(COMPRAS!BG:BG,COMPRAS!BF:BF,V115,COMPRAS!DD:DD,"SI")+SUMIFS(COMPRAS!BP:BP,COMPRAS!BO:BO,V115,COMPRAS!DD:DD,"SI")+SUMIFS(COMPRAS!BY:BY,COMPRAS!BX:BX,V115,COMPRAS!DD:DD,"SI")</f>
        <v>0</v>
      </c>
      <c r="Y115" s="945"/>
      <c r="Z115" s="945"/>
      <c r="AA115" s="945"/>
      <c r="AB115" s="130"/>
      <c r="AC115" s="111">
        <v>387</v>
      </c>
      <c r="AD115" s="74" t="s">
        <v>773</v>
      </c>
      <c r="AE115" s="944">
        <f>SUMIFS(COMPRAS!BI:BI,COMPRAS!BF:BF,V115,COMPRAS!DD:DD,"SI")+SUMIFS(COMPRAS!BR:BR,COMPRAS!BO:BO,V115,COMPRAS!DD:DD,"SI")+SUMIFS(COMPRAS!CA:CA,COMPRAS!BX:BX,V115,COMPRAS!DD:DD,"SI")</f>
        <v>0</v>
      </c>
      <c r="AF115" s="945"/>
      <c r="AG115" s="945"/>
      <c r="AH115" s="945"/>
      <c r="AI115" s="14"/>
      <c r="AJ115" s="270"/>
    </row>
    <row r="116" spans="1:36" ht="21" customHeight="1" outlineLevel="1" x14ac:dyDescent="0.35">
      <c r="A116" s="41" t="s">
        <v>2371</v>
      </c>
      <c r="B116" s="15"/>
      <c r="C116" s="15"/>
      <c r="D116" s="15"/>
      <c r="E116" s="15"/>
      <c r="F116" s="15"/>
      <c r="G116" s="15"/>
      <c r="H116" s="15"/>
      <c r="I116" s="15"/>
      <c r="J116" s="15"/>
      <c r="K116" s="15"/>
      <c r="L116" s="15"/>
      <c r="M116" s="15"/>
      <c r="N116" s="15"/>
      <c r="O116" s="15"/>
      <c r="P116" s="15"/>
      <c r="Q116" s="15"/>
      <c r="R116" s="15"/>
      <c r="S116" s="15"/>
      <c r="T116" s="15"/>
      <c r="U116" s="130"/>
      <c r="V116" s="54">
        <v>3370</v>
      </c>
      <c r="W116" s="225" t="s">
        <v>773</v>
      </c>
      <c r="X116" s="944">
        <f>SUM(X117:AA117)</f>
        <v>0</v>
      </c>
      <c r="Y116" s="945"/>
      <c r="Z116" s="945"/>
      <c r="AA116" s="945"/>
      <c r="AB116" s="130"/>
      <c r="AC116" s="111">
        <v>3870</v>
      </c>
      <c r="AD116" s="74" t="s">
        <v>773</v>
      </c>
      <c r="AE116" s="944">
        <f>SUM(AE117:AH117)</f>
        <v>0</v>
      </c>
      <c r="AF116" s="945"/>
      <c r="AG116" s="945"/>
      <c r="AH116" s="945"/>
      <c r="AI116" s="14"/>
      <c r="AJ116" s="270"/>
    </row>
    <row r="117" spans="1:36" ht="21" hidden="1" customHeight="1" outlineLevel="2" x14ac:dyDescent="0.35">
      <c r="A117" s="247"/>
      <c r="B117" s="37"/>
      <c r="C117" s="37"/>
      <c r="D117" s="37"/>
      <c r="E117" s="15"/>
      <c r="F117" s="15"/>
      <c r="G117" s="15"/>
      <c r="H117" s="15"/>
      <c r="I117" s="15"/>
      <c r="J117" s="15"/>
      <c r="K117" s="15"/>
      <c r="L117" s="15"/>
      <c r="M117" s="15"/>
      <c r="N117" s="15"/>
      <c r="O117" s="15"/>
      <c r="P117" s="15"/>
      <c r="Q117" s="15"/>
      <c r="R117" s="15"/>
      <c r="S117" s="15"/>
      <c r="T117" s="15"/>
      <c r="U117" s="245" t="s">
        <v>1066</v>
      </c>
      <c r="V117" s="228" t="s">
        <v>1065</v>
      </c>
      <c r="W117" s="74"/>
      <c r="X117" s="944">
        <f>+SUMIFS(COMPRAS!BG:BG,COMPRAS!BF:BF,V117,COMPRAS!DD:DD,"SI")+SUMIFS(COMPRAS!BP:BP,COMPRAS!BO:BO,V117,COMPRAS!DD:DD,"SI")+SUMIFS(COMPRAS!BY:BY,COMPRAS!BX:BX,V117,COMPRAS!DD:DD,"SI")</f>
        <v>0</v>
      </c>
      <c r="Y117" s="945"/>
      <c r="Z117" s="945"/>
      <c r="AA117" s="945"/>
      <c r="AB117" s="130"/>
      <c r="AC117" s="54"/>
      <c r="AD117" s="53"/>
      <c r="AE117" s="944">
        <f>SUMIFS(COMPRAS!BI:BI,COMPRAS!BF:BF,V117,COMPRAS!DD:DD,"SI")+SUMIFS(COMPRAS!BR:BR,COMPRAS!BO:BO,V117,COMPRAS!DD:DD,"SI")+SUMIFS(COMPRAS!CA:CA,COMPRAS!BX:BX,V117,COMPRAS!DD:DD,"SI")</f>
        <v>0</v>
      </c>
      <c r="AF117" s="945"/>
      <c r="AG117" s="945"/>
      <c r="AH117" s="945"/>
      <c r="AI117" s="14"/>
    </row>
    <row r="118" spans="1:36" ht="21" customHeight="1" outlineLevel="1" collapsed="1" x14ac:dyDescent="0.35">
      <c r="A118" s="41" t="s">
        <v>2372</v>
      </c>
      <c r="B118" s="15"/>
      <c r="C118" s="15"/>
      <c r="D118" s="15"/>
      <c r="E118" s="15"/>
      <c r="F118" s="15"/>
      <c r="G118" s="15"/>
      <c r="H118" s="15"/>
      <c r="I118" s="15"/>
      <c r="J118" s="15"/>
      <c r="K118" s="15"/>
      <c r="L118" s="15"/>
      <c r="M118" s="15"/>
      <c r="N118" s="15"/>
      <c r="O118" s="15"/>
      <c r="P118" s="15"/>
      <c r="Q118" s="15"/>
      <c r="R118" s="15"/>
      <c r="S118" s="15"/>
      <c r="T118" s="15"/>
      <c r="U118" s="245"/>
      <c r="V118" s="54">
        <v>350</v>
      </c>
      <c r="W118" s="225" t="s">
        <v>773</v>
      </c>
      <c r="X118" s="944">
        <f>SUM(X119:AA119)</f>
        <v>0</v>
      </c>
      <c r="Y118" s="945"/>
      <c r="Z118" s="945"/>
      <c r="AA118" s="945"/>
      <c r="AB118" s="130"/>
      <c r="AC118" s="226">
        <v>400</v>
      </c>
      <c r="AD118" s="74" t="s">
        <v>773</v>
      </c>
      <c r="AE118" s="944">
        <f>SUM(AE119:AH119)</f>
        <v>0</v>
      </c>
      <c r="AF118" s="945"/>
      <c r="AG118" s="945"/>
      <c r="AH118" s="945"/>
      <c r="AI118" s="14"/>
      <c r="AJ118" s="270"/>
    </row>
    <row r="119" spans="1:36" ht="21" hidden="1" customHeight="1" outlineLevel="2" x14ac:dyDescent="0.35">
      <c r="A119" s="41"/>
      <c r="B119" s="15"/>
      <c r="C119" s="15"/>
      <c r="D119" s="15"/>
      <c r="E119" s="15"/>
      <c r="F119" s="15"/>
      <c r="G119" s="15"/>
      <c r="H119" s="15"/>
      <c r="I119" s="15"/>
      <c r="J119" s="15"/>
      <c r="K119" s="15"/>
      <c r="L119" s="15"/>
      <c r="M119" s="15"/>
      <c r="N119" s="15"/>
      <c r="O119" s="15"/>
      <c r="P119" s="15"/>
      <c r="Q119" s="15"/>
      <c r="R119" s="15"/>
      <c r="S119" s="15"/>
      <c r="T119" s="15"/>
      <c r="U119" s="245" t="s">
        <v>1170</v>
      </c>
      <c r="V119" s="246">
        <v>350</v>
      </c>
      <c r="W119" s="225"/>
      <c r="X119" s="944">
        <f>+SUMIFS(COMPRAS!BG:BG,COMPRAS!BF:BF,V119,COMPRAS!DD:DD,"SI")+SUMIFS(COMPRAS!BP:BP,COMPRAS!BO:BO,V119,COMPRAS!DD:DD,"SI")+SUMIFS(COMPRAS!BY:BY,COMPRAS!BX:BX,V119,COMPRAS!DD:DD,"SI")</f>
        <v>0</v>
      </c>
      <c r="Y119" s="945"/>
      <c r="Z119" s="945"/>
      <c r="AA119" s="945"/>
      <c r="AB119" s="130"/>
      <c r="AC119" s="226"/>
      <c r="AD119" s="74"/>
      <c r="AE119" s="944">
        <f>SUMIFS(COMPRAS!BI:BI,COMPRAS!BF:BF,V119,COMPRAS!DD:DD,"SI")+SUMIFS(COMPRAS!BR:BR,COMPRAS!BO:BO,V119,COMPRAS!DD:DD,"SI")+SUMIFS(COMPRAS!CA:CA,COMPRAS!BX:BX,V119,COMPRAS!DD:DD,"SI")</f>
        <v>0</v>
      </c>
      <c r="AF119" s="945"/>
      <c r="AG119" s="945"/>
      <c r="AH119" s="945"/>
      <c r="AI119" s="14"/>
    </row>
    <row r="120" spans="1:36" ht="21" customHeight="1" outlineLevel="1" collapsed="1" x14ac:dyDescent="0.35">
      <c r="A120" s="1072" t="s">
        <v>959</v>
      </c>
      <c r="B120" s="1073"/>
      <c r="C120" s="1074"/>
      <c r="D120" s="15" t="s">
        <v>1212</v>
      </c>
      <c r="E120" s="15"/>
      <c r="F120" s="37"/>
      <c r="G120" s="37"/>
      <c r="H120" s="37"/>
      <c r="I120" s="37"/>
      <c r="J120" s="37"/>
      <c r="K120" s="37"/>
      <c r="L120" s="37"/>
      <c r="M120" s="37"/>
      <c r="N120" s="37"/>
      <c r="O120" s="37"/>
      <c r="P120" s="37"/>
      <c r="Q120" s="37"/>
      <c r="R120" s="37"/>
      <c r="S120" s="37"/>
      <c r="T120" s="37"/>
      <c r="U120" s="242"/>
      <c r="V120" s="54">
        <v>3440</v>
      </c>
      <c r="W120" s="74" t="s">
        <v>773</v>
      </c>
      <c r="X120" s="944">
        <f>+SUMIFS(COMPRAS!BG:BG,COMPRAS!BF:BF,V120,COMPRAS!DD:DD,"SI")+SUMIFS(COMPRAS!BP:BP,COMPRAS!BO:BO,V120,COMPRAS!DD:DD,"SI")+SUMIFS(COMPRAS!BY:BY,COMPRAS!BX:BX,V120,COMPRAS!DD:DD,"SI")</f>
        <v>0</v>
      </c>
      <c r="Y120" s="945"/>
      <c r="Z120" s="945"/>
      <c r="AA120" s="945"/>
      <c r="AB120" s="130"/>
      <c r="AC120" s="111">
        <v>3940</v>
      </c>
      <c r="AD120" s="74" t="s">
        <v>773</v>
      </c>
      <c r="AE120" s="944">
        <f>SUMIFS(COMPRAS!BI:BI,COMPRAS!BF:BF,V120,COMPRAS!DD:DD,"SI")+SUMIFS(COMPRAS!BR:BR,COMPRAS!BO:BO,V120,COMPRAS!DD:DD,"SI")+SUMIFS(COMPRAS!CA:CA,COMPRAS!BX:BX,V120,COMPRAS!DD:DD,"SI")</f>
        <v>0</v>
      </c>
      <c r="AF120" s="945"/>
      <c r="AG120" s="945"/>
      <c r="AH120" s="945"/>
      <c r="AI120" s="14"/>
      <c r="AJ120" s="270"/>
    </row>
    <row r="121" spans="1:36" ht="21" customHeight="1" outlineLevel="1" x14ac:dyDescent="0.35">
      <c r="A121" s="1068"/>
      <c r="B121" s="980"/>
      <c r="C121" s="988"/>
      <c r="D121" s="15" t="s">
        <v>958</v>
      </c>
      <c r="E121" s="15"/>
      <c r="F121" s="37"/>
      <c r="G121" s="37"/>
      <c r="H121" s="37"/>
      <c r="I121" s="37"/>
      <c r="J121" s="37"/>
      <c r="K121" s="37"/>
      <c r="L121" s="37"/>
      <c r="M121" s="37"/>
      <c r="N121" s="37"/>
      <c r="O121" s="37"/>
      <c r="P121" s="37"/>
      <c r="Q121" s="37"/>
      <c r="R121" s="37"/>
      <c r="S121" s="37"/>
      <c r="T121" s="37"/>
      <c r="U121" s="242"/>
      <c r="V121" s="54">
        <v>345</v>
      </c>
      <c r="W121" s="74" t="s">
        <v>773</v>
      </c>
      <c r="X121" s="944">
        <f>+SUMIFS(COMPRAS!BG:BG,COMPRAS!BF:BF,V121,COMPRAS!DD:DD,"SI")+SUMIFS(COMPRAS!BP:BP,COMPRAS!BO:BO,V121,COMPRAS!DD:DD,"SI")+SUMIFS(COMPRAS!BY:BY,COMPRAS!BX:BX,V121,COMPRAS!DD:DD,"SI")</f>
        <v>0</v>
      </c>
      <c r="Y121" s="945"/>
      <c r="Z121" s="945"/>
      <c r="AA121" s="945"/>
      <c r="AB121" s="130"/>
      <c r="AC121" s="226">
        <v>395</v>
      </c>
      <c r="AD121" s="74" t="s">
        <v>773</v>
      </c>
      <c r="AE121" s="944">
        <f>SUMIFS(COMPRAS!BI:BI,COMPRAS!BF:BF,V121,COMPRAS!DD:DD,"SI")+SUMIFS(COMPRAS!BR:BR,COMPRAS!BO:BO,V121,COMPRAS!DD:DD,"SI")+SUMIFS(COMPRAS!CA:CA,COMPRAS!BX:BX,V121,COMPRAS!DD:DD,"SI")</f>
        <v>0</v>
      </c>
      <c r="AF121" s="945"/>
      <c r="AG121" s="945"/>
      <c r="AH121" s="945"/>
      <c r="AI121" s="14"/>
      <c r="AJ121" s="270"/>
    </row>
    <row r="122" spans="1:36" ht="21" customHeight="1" outlineLevel="1" thickBot="1" x14ac:dyDescent="0.4">
      <c r="A122" s="1068"/>
      <c r="B122" s="980"/>
      <c r="C122" s="988"/>
      <c r="D122" s="15" t="s">
        <v>2373</v>
      </c>
      <c r="E122" s="15"/>
      <c r="F122" s="15"/>
      <c r="G122" s="15"/>
      <c r="H122" s="15"/>
      <c r="I122" s="15"/>
      <c r="J122" s="15"/>
      <c r="K122" s="15"/>
      <c r="L122" s="15"/>
      <c r="M122" s="15"/>
      <c r="N122" s="15"/>
      <c r="O122" s="15"/>
      <c r="P122" s="15"/>
      <c r="Q122" s="15"/>
      <c r="R122" s="15"/>
      <c r="S122" s="15"/>
      <c r="T122" s="15"/>
      <c r="U122" s="130"/>
      <c r="V122" s="54">
        <v>346</v>
      </c>
      <c r="W122" s="74" t="s">
        <v>773</v>
      </c>
      <c r="X122" s="944">
        <f>SUM(X123:AA126)</f>
        <v>0</v>
      </c>
      <c r="Y122" s="945"/>
      <c r="Z122" s="945"/>
      <c r="AA122" s="945"/>
      <c r="AB122" s="130"/>
      <c r="AC122" s="54">
        <v>396</v>
      </c>
      <c r="AD122" s="53" t="s">
        <v>773</v>
      </c>
      <c r="AE122" s="944">
        <f>SUM(AE123:AH126)</f>
        <v>0</v>
      </c>
      <c r="AF122" s="945"/>
      <c r="AG122" s="945"/>
      <c r="AH122" s="945"/>
      <c r="AI122" s="14"/>
      <c r="AJ122" s="270"/>
    </row>
    <row r="123" spans="1:36" ht="21" hidden="1" customHeight="1" outlineLevel="2" x14ac:dyDescent="0.35">
      <c r="A123" s="1068"/>
      <c r="B123" s="980"/>
      <c r="C123" s="988"/>
      <c r="D123" s="15"/>
      <c r="E123" s="15"/>
      <c r="F123" s="15"/>
      <c r="G123" s="15"/>
      <c r="H123" s="15"/>
      <c r="I123" s="15"/>
      <c r="J123" s="15"/>
      <c r="K123" s="15"/>
      <c r="L123" s="15"/>
      <c r="M123" s="15"/>
      <c r="N123" s="15"/>
      <c r="O123" s="15"/>
      <c r="P123" s="15"/>
      <c r="Q123" s="15"/>
      <c r="R123" s="15"/>
      <c r="S123" s="15"/>
      <c r="T123" s="15"/>
      <c r="U123" s="229" t="s">
        <v>1060</v>
      </c>
      <c r="V123" s="228">
        <v>346</v>
      </c>
      <c r="W123" s="74"/>
      <c r="X123" s="944">
        <f>+SUMIFS(COMPRAS!BG:BG,COMPRAS!BF:BF,V123,COMPRAS!DD:DD,"SI")+SUMIFS(COMPRAS!BP:BP,COMPRAS!BO:BO,V123,COMPRAS!DD:DD,"SI")+SUMIFS(COMPRAS!BY:BY,COMPRAS!BX:BX,V123,COMPRAS!DD:DD,"SI")</f>
        <v>0</v>
      </c>
      <c r="Y123" s="945"/>
      <c r="Z123" s="945"/>
      <c r="AA123" s="945"/>
      <c r="AB123" s="130"/>
      <c r="AC123" s="54"/>
      <c r="AD123" s="53"/>
      <c r="AE123" s="944">
        <f>SUMIFS(COMPRAS!BI:BI,COMPRAS!BF:BF,V123,COMPRAS!DD:DD,"SI")+SUMIFS(COMPRAS!BR:BR,COMPRAS!BO:BO,V123,COMPRAS!DD:DD,"SI")+SUMIFS(COMPRAS!CA:CA,COMPRAS!BX:BX,V123,COMPRAS!DD:DD,"SI")</f>
        <v>0</v>
      </c>
      <c r="AF123" s="945"/>
      <c r="AG123" s="945"/>
      <c r="AH123" s="945"/>
      <c r="AI123" s="14"/>
    </row>
    <row r="124" spans="1:36" ht="21" hidden="1" customHeight="1" outlineLevel="2" x14ac:dyDescent="0.35">
      <c r="A124" s="1068"/>
      <c r="B124" s="980"/>
      <c r="C124" s="988"/>
      <c r="D124" s="15"/>
      <c r="E124" s="15"/>
      <c r="F124" s="15"/>
      <c r="G124" s="15"/>
      <c r="H124" s="15"/>
      <c r="I124" s="15"/>
      <c r="J124" s="15"/>
      <c r="K124" s="15"/>
      <c r="L124" s="15"/>
      <c r="M124" s="15"/>
      <c r="N124" s="15"/>
      <c r="O124" s="15"/>
      <c r="P124" s="15"/>
      <c r="Q124" s="15"/>
      <c r="R124" s="15"/>
      <c r="S124" s="15"/>
      <c r="T124" s="15"/>
      <c r="U124" s="229" t="s">
        <v>1080</v>
      </c>
      <c r="V124" s="228" t="s">
        <v>175</v>
      </c>
      <c r="W124" s="74"/>
      <c r="X124" s="944">
        <f>+SUMIFS(COMPRAS!BG:BG,COMPRAS!BF:BF,V124,COMPRAS!DD:DD,"SI")+SUMIFS(COMPRAS!BP:BP,COMPRAS!BO:BO,V124,COMPRAS!DD:DD,"SI")+SUMIFS(COMPRAS!BY:BY,COMPRAS!BX:BX,V124,COMPRAS!DD:DD,"SI")</f>
        <v>0</v>
      </c>
      <c r="Y124" s="945"/>
      <c r="Z124" s="945"/>
      <c r="AA124" s="945"/>
      <c r="AB124" s="130"/>
      <c r="AC124" s="54"/>
      <c r="AD124" s="53"/>
      <c r="AE124" s="944">
        <f>SUMIFS(COMPRAS!BI:BI,COMPRAS!BF:BF,V124,COMPRAS!DD:DD,"SI")+SUMIFS(COMPRAS!BR:BR,COMPRAS!BO:BO,V124,COMPRAS!DD:DD,"SI")+SUMIFS(COMPRAS!CA:CA,COMPRAS!BX:BX,V124,COMPRAS!DD:DD,"SI")</f>
        <v>0</v>
      </c>
      <c r="AF124" s="945"/>
      <c r="AG124" s="945"/>
      <c r="AH124" s="945"/>
      <c r="AI124" s="14"/>
    </row>
    <row r="125" spans="1:36" ht="21" hidden="1" customHeight="1" outlineLevel="2" x14ac:dyDescent="0.35">
      <c r="A125" s="1068"/>
      <c r="B125" s="980"/>
      <c r="C125" s="988"/>
      <c r="D125" s="15"/>
      <c r="E125" s="15"/>
      <c r="F125" s="15"/>
      <c r="G125" s="15"/>
      <c r="H125" s="15"/>
      <c r="I125" s="15"/>
      <c r="J125" s="15"/>
      <c r="K125" s="15"/>
      <c r="L125" s="15"/>
      <c r="M125" s="15"/>
      <c r="N125" s="15"/>
      <c r="O125" s="15"/>
      <c r="P125" s="15"/>
      <c r="Q125" s="15"/>
      <c r="R125" s="15"/>
      <c r="S125" s="15"/>
      <c r="T125" s="15"/>
      <c r="U125" s="229" t="s">
        <v>1062</v>
      </c>
      <c r="V125" s="228" t="s">
        <v>1061</v>
      </c>
      <c r="W125" s="74"/>
      <c r="X125" s="944">
        <f>+SUMIFS(COMPRAS!BG:BG,COMPRAS!BF:BF,V125,COMPRAS!DD:DD,"SI")+SUMIFS(COMPRAS!BP:BP,COMPRAS!BO:BO,V125,COMPRAS!DD:DD,"SI")+SUMIFS(COMPRAS!BY:BY,COMPRAS!BX:BX,V125,COMPRAS!DD:DD,"SI")</f>
        <v>0</v>
      </c>
      <c r="Y125" s="945"/>
      <c r="Z125" s="945"/>
      <c r="AA125" s="945"/>
      <c r="AB125" s="130"/>
      <c r="AC125" s="54"/>
      <c r="AD125" s="53"/>
      <c r="AE125" s="944">
        <f>SUMIFS(COMPRAS!BI:BI,COMPRAS!BF:BF,V125,COMPRAS!DD:DD,"SI")+SUMIFS(COMPRAS!BR:BR,COMPRAS!BO:BO,V125,COMPRAS!DD:DD,"SI")+SUMIFS(COMPRAS!CA:CA,COMPRAS!BX:BX,V125,COMPRAS!DD:DD,"SI")</f>
        <v>0</v>
      </c>
      <c r="AF125" s="945"/>
      <c r="AG125" s="945"/>
      <c r="AH125" s="945"/>
      <c r="AI125" s="14"/>
    </row>
    <row r="126" spans="1:36" ht="21" hidden="1" customHeight="1" outlineLevel="2" thickBot="1" x14ac:dyDescent="0.4">
      <c r="A126" s="1068"/>
      <c r="B126" s="980"/>
      <c r="C126" s="988"/>
      <c r="D126" s="37"/>
      <c r="E126" s="37"/>
      <c r="F126" s="37"/>
      <c r="G126" s="37"/>
      <c r="H126" s="37"/>
      <c r="I126" s="37"/>
      <c r="J126" s="37"/>
      <c r="K126" s="37"/>
      <c r="L126" s="37"/>
      <c r="M126" s="37"/>
      <c r="N126" s="37"/>
      <c r="O126" s="37"/>
      <c r="P126" s="37"/>
      <c r="Q126" s="37"/>
      <c r="R126" s="37"/>
      <c r="S126" s="37"/>
      <c r="T126" s="37"/>
      <c r="U126" s="229" t="s">
        <v>1064</v>
      </c>
      <c r="V126" s="835" t="s">
        <v>1063</v>
      </c>
      <c r="W126" s="836"/>
      <c r="X126" s="957">
        <f>+SUMIFS(COMPRAS!BG:BG,COMPRAS!BF:BF,V126,COMPRAS!DD:DD,"SI")+SUMIFS(COMPRAS!BP:BP,COMPRAS!BO:BO,V126,COMPRAS!DD:DD,"SI")+SUMIFS(COMPRAS!BY:BY,COMPRAS!BX:BX,V126,COMPRAS!DD:DD,"SI")</f>
        <v>0</v>
      </c>
      <c r="Y126" s="958"/>
      <c r="Z126" s="958"/>
      <c r="AA126" s="958"/>
      <c r="AB126" s="242"/>
      <c r="AC126" s="52"/>
      <c r="AD126" s="51"/>
      <c r="AE126" s="957">
        <f>SUMIFS(COMPRAS!BI:BI,COMPRAS!BF:BF,V126,COMPRAS!DD:DD,"SI")+SUMIFS(COMPRAS!BR:BR,COMPRAS!BO:BO,V126,COMPRAS!DD:DD,"SI")+SUMIFS(COMPRAS!CA:CA,COMPRAS!BX:BX,V126,COMPRAS!DD:DD,"SI")</f>
        <v>0</v>
      </c>
      <c r="AF126" s="958"/>
      <c r="AG126" s="958"/>
      <c r="AH126" s="958"/>
      <c r="AI126" s="205"/>
    </row>
    <row r="127" spans="1:36" ht="21" customHeight="1" outlineLevel="1" collapsed="1" thickBot="1" x14ac:dyDescent="0.4">
      <c r="A127" s="948" t="s">
        <v>2374</v>
      </c>
      <c r="B127" s="949"/>
      <c r="C127" s="949"/>
      <c r="D127" s="949"/>
      <c r="E127" s="949"/>
      <c r="F127" s="949"/>
      <c r="G127" s="949"/>
      <c r="H127" s="949"/>
      <c r="I127" s="949"/>
      <c r="J127" s="949"/>
      <c r="K127" s="949"/>
      <c r="L127" s="949"/>
      <c r="M127" s="949"/>
      <c r="N127" s="949"/>
      <c r="O127" s="949"/>
      <c r="P127" s="949"/>
      <c r="Q127" s="949"/>
      <c r="R127" s="949"/>
      <c r="S127" s="949"/>
      <c r="T127" s="949"/>
      <c r="U127" s="949"/>
      <c r="V127" s="949"/>
      <c r="W127" s="949"/>
      <c r="X127" s="949"/>
      <c r="Y127" s="949"/>
      <c r="Z127" s="949"/>
      <c r="AA127" s="949"/>
      <c r="AB127" s="949"/>
      <c r="AC127" s="949"/>
      <c r="AD127" s="949"/>
      <c r="AE127" s="949"/>
      <c r="AF127" s="949"/>
      <c r="AG127" s="949"/>
      <c r="AH127" s="949"/>
      <c r="AI127" s="950"/>
    </row>
    <row r="128" spans="1:36" ht="21.75" customHeight="1" outlineLevel="1" x14ac:dyDescent="0.35">
      <c r="A128" s="1068" t="s">
        <v>2375</v>
      </c>
      <c r="B128" s="980"/>
      <c r="C128" s="988"/>
      <c r="D128" s="43" t="s">
        <v>1215</v>
      </c>
      <c r="E128" s="43"/>
      <c r="F128" s="43"/>
      <c r="G128" s="43"/>
      <c r="H128" s="43"/>
      <c r="I128" s="43"/>
      <c r="J128" s="43"/>
      <c r="K128" s="43"/>
      <c r="L128" s="43"/>
      <c r="M128" s="43"/>
      <c r="N128" s="43"/>
      <c r="O128" s="1052" t="s">
        <v>960</v>
      </c>
      <c r="P128" s="1053"/>
      <c r="Q128" s="111">
        <v>5300</v>
      </c>
      <c r="R128" s="225" t="s">
        <v>773</v>
      </c>
      <c r="S128" s="1054"/>
      <c r="T128" s="1055"/>
      <c r="U128" s="1056"/>
      <c r="V128" s="111">
        <v>3400</v>
      </c>
      <c r="W128" s="225" t="s">
        <v>773</v>
      </c>
      <c r="X128" s="946">
        <f>SUM(X129)</f>
        <v>0</v>
      </c>
      <c r="Y128" s="947"/>
      <c r="Z128" s="947"/>
      <c r="AA128" s="947"/>
      <c r="AB128" s="142"/>
      <c r="AC128" s="226">
        <v>3900</v>
      </c>
      <c r="AD128" s="74" t="s">
        <v>773</v>
      </c>
      <c r="AE128" s="946">
        <f>SUM(AE129)</f>
        <v>0</v>
      </c>
      <c r="AF128" s="947"/>
      <c r="AG128" s="947"/>
      <c r="AH128" s="947"/>
      <c r="AI128" s="206"/>
      <c r="AJ128" s="270"/>
    </row>
    <row r="129" spans="1:37" ht="21" hidden="1" customHeight="1" outlineLevel="1" x14ac:dyDescent="0.35">
      <c r="A129" s="1068"/>
      <c r="B129" s="980"/>
      <c r="C129" s="988"/>
      <c r="D129" s="15"/>
      <c r="E129" s="15"/>
      <c r="F129" s="15"/>
      <c r="G129" s="15"/>
      <c r="H129" s="15"/>
      <c r="I129" s="15"/>
      <c r="J129" s="15"/>
      <c r="K129" s="15"/>
      <c r="L129" s="15"/>
      <c r="M129" s="15"/>
      <c r="N129" s="15"/>
      <c r="O129" s="15"/>
      <c r="P129" s="15"/>
      <c r="Q129" s="15"/>
      <c r="R129" s="15"/>
      <c r="S129" s="15"/>
      <c r="T129" s="15"/>
      <c r="U129" s="245" t="s">
        <v>1215</v>
      </c>
      <c r="V129" s="246">
        <v>340</v>
      </c>
      <c r="W129" s="225"/>
      <c r="X129" s="944">
        <f>+SUMIFS(COMPRAS!BG:BG,COMPRAS!BF:BF,V129,COMPRAS!DD:DD,"SI")+SUMIFS(COMPRAS!BP:BP,COMPRAS!BO:BO,V129,COMPRAS!DD:DD,"SI")+SUMIFS(COMPRAS!BY:BY,COMPRAS!BX:BX,V129,COMPRAS!DD:DD,"SI")</f>
        <v>0</v>
      </c>
      <c r="Y129" s="945"/>
      <c r="Z129" s="945"/>
      <c r="AA129" s="945"/>
      <c r="AB129" s="130"/>
      <c r="AC129" s="226"/>
      <c r="AD129" s="74"/>
      <c r="AE129" s="944">
        <f>SUMIFS(COMPRAS!BI:BI,COMPRAS!BF:BF,V129,COMPRAS!DD:DD,"SI")+SUMIFS(COMPRAS!BR:BR,COMPRAS!BO:BO,V129,COMPRAS!DD:DD,"SI")+SUMIFS(COMPRAS!CA:CA,COMPRAS!BX:BX,V129,COMPRAS!DD:DD,"SI")</f>
        <v>0</v>
      </c>
      <c r="AF129" s="945"/>
      <c r="AG129" s="945"/>
      <c r="AH129" s="945"/>
      <c r="AI129" s="14"/>
    </row>
    <row r="130" spans="1:37" ht="21.75" customHeight="1" outlineLevel="1" x14ac:dyDescent="0.35">
      <c r="A130" s="1068"/>
      <c r="B130" s="980"/>
      <c r="C130" s="988"/>
      <c r="D130" s="15" t="s">
        <v>1214</v>
      </c>
      <c r="E130" s="15"/>
      <c r="F130" s="15"/>
      <c r="G130" s="15"/>
      <c r="H130" s="15"/>
      <c r="I130" s="15"/>
      <c r="J130" s="15"/>
      <c r="K130" s="15"/>
      <c r="L130" s="15"/>
      <c r="M130" s="15"/>
      <c r="N130" s="15"/>
      <c r="O130" s="1050" t="s">
        <v>960</v>
      </c>
      <c r="P130" s="1051"/>
      <c r="Q130" s="54">
        <v>5100</v>
      </c>
      <c r="R130" s="225" t="s">
        <v>773</v>
      </c>
      <c r="S130" s="959"/>
      <c r="T130" s="960"/>
      <c r="U130" s="961"/>
      <c r="V130" s="54">
        <v>3380</v>
      </c>
      <c r="W130" s="225" t="s">
        <v>773</v>
      </c>
      <c r="X130" s="944">
        <f>SUM(X131)</f>
        <v>0</v>
      </c>
      <c r="Y130" s="945"/>
      <c r="Z130" s="945"/>
      <c r="AA130" s="945"/>
      <c r="AB130" s="130"/>
      <c r="AC130" s="226">
        <v>3880</v>
      </c>
      <c r="AD130" s="74" t="s">
        <v>773</v>
      </c>
      <c r="AE130" s="944">
        <f>SUM(AE131)</f>
        <v>0</v>
      </c>
      <c r="AF130" s="945"/>
      <c r="AG130" s="945"/>
      <c r="AH130" s="945"/>
      <c r="AI130" s="14"/>
      <c r="AJ130" s="270"/>
    </row>
    <row r="131" spans="1:37" ht="21" hidden="1" customHeight="1" outlineLevel="1" x14ac:dyDescent="0.35">
      <c r="A131" s="1068"/>
      <c r="B131" s="980"/>
      <c r="C131" s="988"/>
      <c r="D131" s="15"/>
      <c r="E131" s="15"/>
      <c r="F131" s="15"/>
      <c r="G131" s="15"/>
      <c r="H131" s="15"/>
      <c r="I131" s="15"/>
      <c r="J131" s="15"/>
      <c r="K131" s="15"/>
      <c r="L131" s="15"/>
      <c r="M131" s="15"/>
      <c r="N131" s="15"/>
      <c r="O131" s="15"/>
      <c r="P131" s="15"/>
      <c r="Q131" s="15"/>
      <c r="R131" s="15"/>
      <c r="S131" s="15"/>
      <c r="T131" s="15"/>
      <c r="U131" s="245" t="s">
        <v>1214</v>
      </c>
      <c r="V131" s="246">
        <v>338</v>
      </c>
      <c r="W131" s="225"/>
      <c r="X131" s="944">
        <f>+SUMIFS(COMPRAS!BG:BG,COMPRAS!BF:BF,V131,COMPRAS!DD:DD,"SI")+SUMIFS(COMPRAS!BP:BP,COMPRAS!BO:BO,V131,COMPRAS!DD:DD,"SI")+SUMIFS(COMPRAS!BY:BY,COMPRAS!BX:BX,V131,COMPRAS!DD:DD,"SI")</f>
        <v>0</v>
      </c>
      <c r="Y131" s="945"/>
      <c r="Z131" s="945"/>
      <c r="AA131" s="945"/>
      <c r="AB131" s="130"/>
      <c r="AC131" s="226"/>
      <c r="AD131" s="74"/>
      <c r="AE131" s="944">
        <f>SUMIFS(COMPRAS!BI:BI,COMPRAS!BF:BF,V131,COMPRAS!DD:DD,"SI")+SUMIFS(COMPRAS!BR:BR,COMPRAS!BO:BO,V131,COMPRAS!DD:DD,"SI")+SUMIFS(COMPRAS!CA:CA,COMPRAS!BX:BX,V131,COMPRAS!DD:DD,"SI")</f>
        <v>0</v>
      </c>
      <c r="AF131" s="945"/>
      <c r="AG131" s="945"/>
      <c r="AH131" s="945"/>
      <c r="AI131" s="14"/>
      <c r="AK131" s="269"/>
    </row>
    <row r="132" spans="1:37" ht="21.75" customHeight="1" outlineLevel="1" x14ac:dyDescent="0.35">
      <c r="A132" s="1068"/>
      <c r="B132" s="980"/>
      <c r="C132" s="988"/>
      <c r="D132" s="15" t="s">
        <v>965</v>
      </c>
      <c r="E132" s="15"/>
      <c r="F132" s="15"/>
      <c r="G132" s="15"/>
      <c r="H132" s="15"/>
      <c r="I132" s="15"/>
      <c r="J132" s="15"/>
      <c r="K132" s="15"/>
      <c r="L132" s="15"/>
      <c r="M132" s="15"/>
      <c r="N132" s="15"/>
      <c r="O132" s="1050" t="s">
        <v>960</v>
      </c>
      <c r="P132" s="1051"/>
      <c r="Q132" s="54">
        <v>510</v>
      </c>
      <c r="R132" s="225" t="s">
        <v>773</v>
      </c>
      <c r="S132" s="959"/>
      <c r="T132" s="960"/>
      <c r="U132" s="961"/>
      <c r="V132" s="54">
        <v>338</v>
      </c>
      <c r="W132" s="225" t="s">
        <v>773</v>
      </c>
      <c r="X132" s="944">
        <f>+SUMIFS(COMPRAS!BG:BG,COMPRAS!BF:BF,V132,COMPRAS!DD:DD,"SI")+SUMIFS(COMPRAS!BP:BP,COMPRAS!BO:BO,V132,COMPRAS!DD:DD,"SI")+SUMIFS(COMPRAS!BY:BY,COMPRAS!BX:BX,V132,COMPRAS!DD:DD,"SI")</f>
        <v>0</v>
      </c>
      <c r="Y132" s="945"/>
      <c r="Z132" s="945"/>
      <c r="AA132" s="945"/>
      <c r="AB132" s="130"/>
      <c r="AC132" s="226">
        <v>388</v>
      </c>
      <c r="AD132" s="74" t="s">
        <v>773</v>
      </c>
      <c r="AE132" s="944">
        <f>SUMIFS(COMPRAS!BI:BI,COMPRAS!BF:BF,V132,COMPRAS!DD:DD,"SI")+SUMIFS(COMPRAS!BR:BR,COMPRAS!BO:BO,V132,COMPRAS!DD:DD,"SI")+SUMIFS(COMPRAS!CA:CA,COMPRAS!BX:BX,V132,COMPRAS!DD:DD,"SI")</f>
        <v>0</v>
      </c>
      <c r="AF132" s="945"/>
      <c r="AG132" s="945"/>
      <c r="AH132" s="945"/>
      <c r="AI132" s="14"/>
      <c r="AJ132" s="270"/>
    </row>
    <row r="133" spans="1:37" ht="21.75" customHeight="1" outlineLevel="1" x14ac:dyDescent="0.35">
      <c r="A133" s="1068"/>
      <c r="B133" s="980"/>
      <c r="C133" s="988"/>
      <c r="D133" s="15" t="s">
        <v>964</v>
      </c>
      <c r="E133" s="15"/>
      <c r="F133" s="15"/>
      <c r="G133" s="15"/>
      <c r="H133" s="15"/>
      <c r="I133" s="15"/>
      <c r="J133" s="15"/>
      <c r="K133" s="15"/>
      <c r="L133" s="15"/>
      <c r="M133" s="15"/>
      <c r="N133" s="15"/>
      <c r="O133" s="1050" t="s">
        <v>960</v>
      </c>
      <c r="P133" s="1051"/>
      <c r="Q133" s="54">
        <v>520</v>
      </c>
      <c r="R133" s="225" t="s">
        <v>773</v>
      </c>
      <c r="S133" s="959"/>
      <c r="T133" s="960"/>
      <c r="U133" s="961"/>
      <c r="V133" s="54">
        <v>339</v>
      </c>
      <c r="W133" s="225" t="s">
        <v>773</v>
      </c>
      <c r="X133" s="944">
        <f>+SUMIFS(COMPRAS!BG:BG,COMPRAS!BF:BF,V133,COMPRAS!DD:DD,"SI")+SUMIFS(COMPRAS!BP:BP,COMPRAS!BO:BO,V133,COMPRAS!DD:DD,"SI")+SUMIFS(COMPRAS!BY:BY,COMPRAS!BX:BX,V133,COMPRAS!DD:DD,"SI")</f>
        <v>0</v>
      </c>
      <c r="Y133" s="945"/>
      <c r="Z133" s="945"/>
      <c r="AA133" s="945"/>
      <c r="AB133" s="130"/>
      <c r="AC133" s="226">
        <v>389</v>
      </c>
      <c r="AD133" s="74" t="s">
        <v>773</v>
      </c>
      <c r="AE133" s="944">
        <f>SUMIFS(COMPRAS!BI:BI,COMPRAS!BF:BF,V133,COMPRAS!DD:DD,"SI")+SUMIFS(COMPRAS!BR:BR,COMPRAS!BO:BO,V133,COMPRAS!DD:DD,"SI")+SUMIFS(COMPRAS!CA:CA,COMPRAS!BX:BX,V133,COMPRAS!DD:DD,"SI")</f>
        <v>0</v>
      </c>
      <c r="AF133" s="945"/>
      <c r="AG133" s="945"/>
      <c r="AH133" s="945"/>
      <c r="AI133" s="14"/>
      <c r="AJ133" s="270"/>
    </row>
    <row r="134" spans="1:37" ht="21.75" customHeight="1" outlineLevel="1" x14ac:dyDescent="0.35">
      <c r="A134" s="1068"/>
      <c r="B134" s="980"/>
      <c r="C134" s="988"/>
      <c r="D134" s="15" t="s">
        <v>963</v>
      </c>
      <c r="E134" s="15"/>
      <c r="F134" s="15"/>
      <c r="G134" s="15"/>
      <c r="H134" s="15"/>
      <c r="I134" s="15"/>
      <c r="J134" s="15"/>
      <c r="K134" s="15"/>
      <c r="L134" s="15"/>
      <c r="M134" s="15"/>
      <c r="N134" s="15"/>
      <c r="O134" s="1050" t="s">
        <v>960</v>
      </c>
      <c r="P134" s="1051"/>
      <c r="Q134" s="54">
        <v>530</v>
      </c>
      <c r="R134" s="225" t="s">
        <v>773</v>
      </c>
      <c r="S134" s="959"/>
      <c r="T134" s="960"/>
      <c r="U134" s="961"/>
      <c r="V134" s="54">
        <v>340</v>
      </c>
      <c r="W134" s="225" t="s">
        <v>773</v>
      </c>
      <c r="X134" s="944">
        <f>+SUMIFS(COMPRAS!BG:BG,COMPRAS!BF:BF,V134,COMPRAS!DD:DD,"SI")+SUMIFS(COMPRAS!BP:BP,COMPRAS!BO:BO,V134,COMPRAS!DD:DD,"SI")+SUMIFS(COMPRAS!BY:BY,COMPRAS!BX:BX,V134,COMPRAS!DD:DD,"SI")</f>
        <v>0</v>
      </c>
      <c r="Y134" s="945"/>
      <c r="Z134" s="945"/>
      <c r="AA134" s="945"/>
      <c r="AB134" s="130"/>
      <c r="AC134" s="226">
        <v>390</v>
      </c>
      <c r="AD134" s="74" t="s">
        <v>773</v>
      </c>
      <c r="AE134" s="944">
        <f>SUMIFS(COMPRAS!BI:BI,COMPRAS!BF:BF,V134,COMPRAS!DD:DD,"SI")+SUMIFS(COMPRAS!BR:BR,COMPRAS!BO:BO,V134,COMPRAS!DD:DD,"SI")+SUMIFS(COMPRAS!CA:CA,COMPRAS!BX:BX,V134,COMPRAS!DD:DD,"SI")</f>
        <v>0</v>
      </c>
      <c r="AF134" s="945"/>
      <c r="AG134" s="945"/>
      <c r="AH134" s="945"/>
      <c r="AI134" s="14"/>
      <c r="AJ134" s="270"/>
    </row>
    <row r="135" spans="1:37" ht="21.75" customHeight="1" outlineLevel="1" x14ac:dyDescent="0.35">
      <c r="A135" s="1068"/>
      <c r="B135" s="980"/>
      <c r="C135" s="988"/>
      <c r="D135" s="15" t="s">
        <v>962</v>
      </c>
      <c r="E135" s="15"/>
      <c r="F135" s="15"/>
      <c r="G135" s="15"/>
      <c r="H135" s="15"/>
      <c r="I135" s="15"/>
      <c r="J135" s="15"/>
      <c r="K135" s="15"/>
      <c r="L135" s="15"/>
      <c r="M135" s="15"/>
      <c r="N135" s="15"/>
      <c r="O135" s="1050" t="s">
        <v>960</v>
      </c>
      <c r="P135" s="1051"/>
      <c r="Q135" s="54">
        <v>540</v>
      </c>
      <c r="R135" s="225" t="s">
        <v>773</v>
      </c>
      <c r="S135" s="959"/>
      <c r="T135" s="960"/>
      <c r="U135" s="961"/>
      <c r="V135" s="54">
        <v>341</v>
      </c>
      <c r="W135" s="225" t="s">
        <v>773</v>
      </c>
      <c r="X135" s="944">
        <f>+SUMIFS(COMPRAS!BG:BG,COMPRAS!BF:BF,V135,COMPRAS!DD:DD,"SI")+SUMIFS(COMPRAS!BP:BP,COMPRAS!BO:BO,V135,COMPRAS!DD:DD,"SI")+SUMIFS(COMPRAS!BY:BY,COMPRAS!BX:BX,V135,COMPRAS!DD:DD,"SI")</f>
        <v>0</v>
      </c>
      <c r="Y135" s="945"/>
      <c r="Z135" s="945"/>
      <c r="AA135" s="945"/>
      <c r="AB135" s="130"/>
      <c r="AC135" s="226">
        <v>391</v>
      </c>
      <c r="AD135" s="74" t="s">
        <v>773</v>
      </c>
      <c r="AE135" s="944">
        <f>SUMIFS(COMPRAS!BI:BI,COMPRAS!BF:BF,V135,COMPRAS!DD:DD,"SI")+SUMIFS(COMPRAS!BR:BR,COMPRAS!BO:BO,V135,COMPRAS!DD:DD,"SI")+SUMIFS(COMPRAS!CA:CA,COMPRAS!BX:BX,V135,COMPRAS!DD:DD,"SI")</f>
        <v>0</v>
      </c>
      <c r="AF135" s="945"/>
      <c r="AG135" s="945"/>
      <c r="AH135" s="945"/>
      <c r="AI135" s="14"/>
      <c r="AJ135" s="270"/>
    </row>
    <row r="136" spans="1:37" ht="21.75" customHeight="1" outlineLevel="1" x14ac:dyDescent="0.35">
      <c r="A136" s="1068"/>
      <c r="B136" s="980"/>
      <c r="C136" s="988"/>
      <c r="D136" s="15" t="s">
        <v>961</v>
      </c>
      <c r="E136" s="15"/>
      <c r="F136" s="15"/>
      <c r="G136" s="15"/>
      <c r="H136" s="15"/>
      <c r="I136" s="15"/>
      <c r="J136" s="15"/>
      <c r="K136" s="15"/>
      <c r="L136" s="15"/>
      <c r="M136" s="15"/>
      <c r="N136" s="15"/>
      <c r="O136" s="1050" t="s">
        <v>960</v>
      </c>
      <c r="P136" s="1051"/>
      <c r="Q136" s="54">
        <v>550</v>
      </c>
      <c r="R136" s="225" t="s">
        <v>773</v>
      </c>
      <c r="S136" s="959"/>
      <c r="T136" s="960"/>
      <c r="U136" s="961"/>
      <c r="V136" s="54">
        <v>342</v>
      </c>
      <c r="W136" s="225" t="s">
        <v>773</v>
      </c>
      <c r="X136" s="944">
        <f>SUM(X137:AA137)</f>
        <v>0</v>
      </c>
      <c r="Y136" s="945"/>
      <c r="Z136" s="945"/>
      <c r="AA136" s="945"/>
      <c r="AB136" s="130"/>
      <c r="AC136" s="226">
        <v>392</v>
      </c>
      <c r="AD136" s="74" t="s">
        <v>773</v>
      </c>
      <c r="AE136" s="944">
        <f>SUM(AE137:AH137)</f>
        <v>0</v>
      </c>
      <c r="AF136" s="945"/>
      <c r="AG136" s="945"/>
      <c r="AH136" s="945"/>
      <c r="AI136" s="14"/>
      <c r="AJ136" s="270"/>
    </row>
    <row r="137" spans="1:37" ht="21" hidden="1" customHeight="1" outlineLevel="2" x14ac:dyDescent="0.35">
      <c r="A137" s="1069"/>
      <c r="B137" s="1070"/>
      <c r="C137" s="1071"/>
      <c r="D137" s="37"/>
      <c r="E137" s="15"/>
      <c r="F137" s="15"/>
      <c r="G137" s="15"/>
      <c r="H137" s="15"/>
      <c r="I137" s="15"/>
      <c r="J137" s="15"/>
      <c r="K137" s="15"/>
      <c r="L137" s="15"/>
      <c r="M137" s="15"/>
      <c r="N137" s="15"/>
      <c r="O137" s="15"/>
      <c r="P137" s="15"/>
      <c r="Q137" s="15"/>
      <c r="R137" s="15"/>
      <c r="S137" s="15"/>
      <c r="T137" s="15"/>
      <c r="U137" s="245" t="s">
        <v>167</v>
      </c>
      <c r="V137" s="246">
        <v>342</v>
      </c>
      <c r="W137" s="225"/>
      <c r="X137" s="944">
        <f>+SUMIFS(COMPRAS!BG:BG,COMPRAS!BF:BF,V137,COMPRAS!DD:DD,"SI")+SUMIFS(COMPRAS!BP:BP,COMPRAS!BO:BO,V137,COMPRAS!DD:DD,"SI")+SUMIFS(COMPRAS!BY:BY,COMPRAS!BX:BX,V137,COMPRAS!DD:DD,"SI")</f>
        <v>0</v>
      </c>
      <c r="Y137" s="945"/>
      <c r="Z137" s="945"/>
      <c r="AA137" s="945"/>
      <c r="AB137" s="130"/>
      <c r="AC137" s="226"/>
      <c r="AD137" s="74"/>
      <c r="AE137" s="944">
        <f>SUMIFS(COMPRAS!BI:BI,COMPRAS!BF:BF,V137,COMPRAS!DD:DD,"SI")+SUMIFS(COMPRAS!BR:BR,COMPRAS!BO:BO,V137,COMPRAS!DD:DD,"SI")+SUMIFS(COMPRAS!CA:CA,COMPRAS!BX:BX,V137,COMPRAS!DD:DD,"SI")</f>
        <v>0</v>
      </c>
      <c r="AF137" s="945"/>
      <c r="AG137" s="945"/>
      <c r="AH137" s="945"/>
      <c r="AI137" s="14"/>
    </row>
    <row r="138" spans="1:37" ht="21" customHeight="1" outlineLevel="1" collapsed="1" x14ac:dyDescent="0.35">
      <c r="A138" s="271" t="s">
        <v>1166</v>
      </c>
      <c r="B138" s="15"/>
      <c r="C138" s="15"/>
      <c r="D138" s="15"/>
      <c r="E138" s="15"/>
      <c r="F138" s="15"/>
      <c r="G138" s="15"/>
      <c r="H138" s="15"/>
      <c r="I138" s="15"/>
      <c r="J138" s="15"/>
      <c r="K138" s="15"/>
      <c r="L138" s="15"/>
      <c r="M138" s="15"/>
      <c r="N138" s="15"/>
      <c r="O138" s="15"/>
      <c r="P138" s="15"/>
      <c r="Q138" s="15"/>
      <c r="R138" s="15"/>
      <c r="S138" s="15"/>
      <c r="T138" s="15"/>
      <c r="U138" s="245"/>
      <c r="V138" s="54">
        <v>348</v>
      </c>
      <c r="W138" s="225" t="s">
        <v>773</v>
      </c>
      <c r="X138" s="944">
        <f>SUM(X139:AA140)</f>
        <v>0</v>
      </c>
      <c r="Y138" s="945"/>
      <c r="Z138" s="945"/>
      <c r="AA138" s="945"/>
      <c r="AB138" s="130"/>
      <c r="AC138" s="226">
        <v>398</v>
      </c>
      <c r="AD138" s="74" t="s">
        <v>773</v>
      </c>
      <c r="AE138" s="944">
        <f>SUM(AE139:AH140)</f>
        <v>0</v>
      </c>
      <c r="AF138" s="945"/>
      <c r="AG138" s="945"/>
      <c r="AH138" s="945"/>
      <c r="AI138" s="14"/>
      <c r="AJ138" s="270"/>
    </row>
    <row r="139" spans="1:37" ht="21" hidden="1" customHeight="1" outlineLevel="2" x14ac:dyDescent="0.35">
      <c r="A139" s="41"/>
      <c r="B139" s="15"/>
      <c r="C139" s="15"/>
      <c r="D139" s="15"/>
      <c r="E139" s="15"/>
      <c r="F139" s="15"/>
      <c r="G139" s="15"/>
      <c r="H139" s="15"/>
      <c r="I139" s="15"/>
      <c r="J139" s="15"/>
      <c r="K139" s="15"/>
      <c r="L139" s="15"/>
      <c r="M139" s="15"/>
      <c r="N139" s="15"/>
      <c r="O139" s="15"/>
      <c r="P139" s="15"/>
      <c r="Q139" s="15"/>
      <c r="R139" s="15"/>
      <c r="S139" s="15"/>
      <c r="T139" s="15"/>
      <c r="U139" s="245" t="s">
        <v>1165</v>
      </c>
      <c r="V139" s="246">
        <v>348</v>
      </c>
      <c r="W139" s="225"/>
      <c r="X139" s="944">
        <f>+SUMIFS(COMPRAS!BG:BG,COMPRAS!BF:BF,V139,COMPRAS!DD:DD,"SI")+SUMIFS(COMPRAS!BP:BP,COMPRAS!BO:BO,V139,COMPRAS!DD:DD,"SI")+SUMIFS(COMPRAS!BY:BY,COMPRAS!BX:BX,V139,COMPRAS!DD:DD,"SI")</f>
        <v>0</v>
      </c>
      <c r="Y139" s="945"/>
      <c r="Z139" s="945"/>
      <c r="AA139" s="945"/>
      <c r="AB139" s="130"/>
      <c r="AC139" s="226"/>
      <c r="AD139" s="74"/>
      <c r="AE139" s="944">
        <f>SUMIFS(COMPRAS!BI:BI,COMPRAS!BF:BF,V139,COMPRAS!DD:DD,"SI")+SUMIFS(COMPRAS!BR:BR,COMPRAS!BO:BO,V139,COMPRAS!DD:DD,"SI")+SUMIFS(COMPRAS!CA:CA,COMPRAS!BX:BX,V139,COMPRAS!DD:DD,"SI")</f>
        <v>0</v>
      </c>
      <c r="AF139" s="945"/>
      <c r="AG139" s="945"/>
      <c r="AH139" s="945"/>
      <c r="AI139" s="14"/>
    </row>
    <row r="140" spans="1:37" ht="21" hidden="1" customHeight="1" outlineLevel="2" x14ac:dyDescent="0.35">
      <c r="A140" s="41"/>
      <c r="B140" s="15"/>
      <c r="C140" s="15"/>
      <c r="D140" s="15"/>
      <c r="E140" s="15"/>
      <c r="F140" s="15"/>
      <c r="G140" s="15"/>
      <c r="H140" s="15"/>
      <c r="I140" s="15"/>
      <c r="J140" s="15"/>
      <c r="K140" s="15"/>
      <c r="L140" s="15"/>
      <c r="M140" s="15"/>
      <c r="N140" s="15"/>
      <c r="O140" s="15"/>
      <c r="P140" s="15"/>
      <c r="Q140" s="15"/>
      <c r="R140" s="15"/>
      <c r="S140" s="15"/>
      <c r="T140" s="15"/>
      <c r="U140" s="245" t="s">
        <v>1045</v>
      </c>
      <c r="V140" s="246" t="s">
        <v>1044</v>
      </c>
      <c r="W140" s="225"/>
      <c r="X140" s="944">
        <f>+SUMIFS(COMPRAS!BG:BG,COMPRAS!BF:BF,V140,COMPRAS!DD:DD,"SI")+SUMIFS(COMPRAS!BP:BP,COMPRAS!BO:BO,V140,COMPRAS!DD:DD,"SI")+SUMIFS(COMPRAS!BY:BY,COMPRAS!BX:BX,V140,COMPRAS!DD:DD,"SI")</f>
        <v>0</v>
      </c>
      <c r="Y140" s="945"/>
      <c r="Z140" s="945"/>
      <c r="AA140" s="945"/>
      <c r="AB140" s="130"/>
      <c r="AC140" s="226"/>
      <c r="AD140" s="74"/>
      <c r="AE140" s="944">
        <f>SUMIFS(COMPRAS!BI:BI,COMPRAS!BF:BF,V140,COMPRAS!DD:DD,"SI")+SUMIFS(COMPRAS!BR:BR,COMPRAS!BO:BO,V140,COMPRAS!DD:DD,"SI")+SUMIFS(COMPRAS!CA:CA,COMPRAS!BX:BX,V140,COMPRAS!DD:DD,"SI")</f>
        <v>0</v>
      </c>
      <c r="AF140" s="945"/>
      <c r="AG140" s="945"/>
      <c r="AH140" s="945"/>
      <c r="AI140" s="14"/>
    </row>
    <row r="141" spans="1:37" ht="21" customHeight="1" outlineLevel="1" collapsed="1" x14ac:dyDescent="0.35">
      <c r="A141" s="1072" t="s">
        <v>2376</v>
      </c>
      <c r="B141" s="1073"/>
      <c r="C141" s="1074"/>
      <c r="D141" s="37" t="s">
        <v>2378</v>
      </c>
      <c r="E141" s="15"/>
      <c r="F141" s="15"/>
      <c r="G141" s="15"/>
      <c r="H141" s="15"/>
      <c r="I141" s="15"/>
      <c r="J141" s="15"/>
      <c r="K141" s="15"/>
      <c r="L141" s="15"/>
      <c r="M141" s="15"/>
      <c r="N141" s="15"/>
      <c r="O141" s="15"/>
      <c r="P141" s="15"/>
      <c r="Q141" s="15"/>
      <c r="R141" s="15"/>
      <c r="S141" s="15"/>
      <c r="T141" s="15"/>
      <c r="U141" s="130"/>
      <c r="V141" s="54">
        <v>3483</v>
      </c>
      <c r="W141" s="225" t="s">
        <v>773</v>
      </c>
      <c r="X141" s="944">
        <f>+SUMIFS(COMPRAS!BG:BG,COMPRAS!BF:BF,V141,COMPRAS!DD:DD,"SI")+SUMIFS(COMPRAS!BP:BP,COMPRAS!BO:BO,V141,COMPRAS!DD:DD,"SI")+SUMIFS(COMPRAS!BY:BY,COMPRAS!BX:BX,V141,COMPRAS!DD:DD,"SI")</f>
        <v>0</v>
      </c>
      <c r="Y141" s="945"/>
      <c r="Z141" s="945"/>
      <c r="AA141" s="945"/>
      <c r="AB141" s="130"/>
      <c r="AC141" s="1081"/>
      <c r="AD141" s="1082"/>
      <c r="AE141" s="1082"/>
      <c r="AF141" s="1082"/>
      <c r="AG141" s="1082"/>
      <c r="AH141" s="1082"/>
      <c r="AI141" s="1083"/>
      <c r="AJ141" s="270"/>
    </row>
    <row r="142" spans="1:37" ht="21" customHeight="1" outlineLevel="1" x14ac:dyDescent="0.35">
      <c r="A142" s="1068"/>
      <c r="B142" s="980"/>
      <c r="C142" s="988"/>
      <c r="D142" s="37" t="s">
        <v>2379</v>
      </c>
      <c r="E142" s="37"/>
      <c r="F142" s="15"/>
      <c r="G142" s="15"/>
      <c r="H142" s="15"/>
      <c r="I142" s="15"/>
      <c r="J142" s="15"/>
      <c r="K142" s="15"/>
      <c r="L142" s="15"/>
      <c r="M142" s="15"/>
      <c r="N142" s="15"/>
      <c r="O142" s="15"/>
      <c r="P142" s="15"/>
      <c r="Q142" s="15"/>
      <c r="R142" s="15"/>
      <c r="S142" s="15"/>
      <c r="T142" s="15"/>
      <c r="U142" s="245"/>
      <c r="V142" s="54">
        <v>3484</v>
      </c>
      <c r="W142" s="225" t="s">
        <v>773</v>
      </c>
      <c r="X142" s="944">
        <f>+SUMIFS(COMPRAS!BG:BG,COMPRAS!BF:BF,V142,COMPRAS!DD:DD,"SI")+SUMIFS(COMPRAS!BP:BP,COMPRAS!BO:BO,V142,COMPRAS!DD:DD,"SI")+SUMIFS(COMPRAS!BY:BY,COMPRAS!BX:BX,V142,COMPRAS!DD:DD,"SI")</f>
        <v>0</v>
      </c>
      <c r="Y142" s="945"/>
      <c r="Z142" s="945"/>
      <c r="AA142" s="945"/>
      <c r="AB142" s="130"/>
      <c r="AC142" s="962"/>
      <c r="AD142" s="963"/>
      <c r="AE142" s="963"/>
      <c r="AF142" s="963"/>
      <c r="AG142" s="963"/>
      <c r="AH142" s="963"/>
      <c r="AI142" s="964"/>
      <c r="AJ142" s="270"/>
    </row>
    <row r="143" spans="1:37" ht="21" customHeight="1" outlineLevel="1" x14ac:dyDescent="0.35">
      <c r="A143" s="1068"/>
      <c r="B143" s="980"/>
      <c r="C143" s="988"/>
      <c r="D143" s="37" t="s">
        <v>2380</v>
      </c>
      <c r="E143" s="37"/>
      <c r="F143" s="15"/>
      <c r="G143" s="15"/>
      <c r="H143" s="15"/>
      <c r="I143" s="15"/>
      <c r="J143" s="15"/>
      <c r="K143" s="15"/>
      <c r="L143" s="15"/>
      <c r="M143" s="15"/>
      <c r="N143" s="15"/>
      <c r="O143" s="15"/>
      <c r="P143" s="15"/>
      <c r="Q143" s="15"/>
      <c r="R143" s="15"/>
      <c r="S143" s="15"/>
      <c r="T143" s="15"/>
      <c r="U143" s="245"/>
      <c r="V143" s="54">
        <v>3485</v>
      </c>
      <c r="W143" s="225" t="s">
        <v>773</v>
      </c>
      <c r="X143" s="944">
        <f>+SUMIFS(COMPRAS!BG:BG,COMPRAS!BF:BF,V143,COMPRAS!DD:DD,"SI")+SUMIFS(COMPRAS!BP:BP,COMPRAS!BO:BO,V143,COMPRAS!DD:DD,"SI")+SUMIFS(COMPRAS!BY:BY,COMPRAS!BX:BX,V143,COMPRAS!DD:DD,"SI")</f>
        <v>0</v>
      </c>
      <c r="Y143" s="945"/>
      <c r="Z143" s="945"/>
      <c r="AA143" s="945"/>
      <c r="AB143" s="130"/>
      <c r="AC143" s="951"/>
      <c r="AD143" s="952"/>
      <c r="AE143" s="952"/>
      <c r="AF143" s="952"/>
      <c r="AG143" s="952"/>
      <c r="AH143" s="952"/>
      <c r="AI143" s="953"/>
      <c r="AJ143" s="270"/>
    </row>
    <row r="144" spans="1:37" ht="21" customHeight="1" outlineLevel="1" x14ac:dyDescent="0.35">
      <c r="A144" s="1068"/>
      <c r="B144" s="980"/>
      <c r="C144" s="988"/>
      <c r="D144" s="37" t="s">
        <v>2381</v>
      </c>
      <c r="E144" s="37"/>
      <c r="F144" s="15"/>
      <c r="G144" s="15"/>
      <c r="H144" s="15"/>
      <c r="I144" s="15"/>
      <c r="J144" s="15"/>
      <c r="K144" s="15"/>
      <c r="L144" s="15"/>
      <c r="M144" s="15"/>
      <c r="N144" s="15"/>
      <c r="O144" s="15"/>
      <c r="P144" s="15"/>
      <c r="Q144" s="15"/>
      <c r="R144" s="15"/>
      <c r="S144" s="15"/>
      <c r="T144" s="15"/>
      <c r="U144" s="245"/>
      <c r="V144" s="54">
        <v>3480</v>
      </c>
      <c r="W144" s="225" t="s">
        <v>773</v>
      </c>
      <c r="X144" s="944">
        <f>SUM(X145:AA145)</f>
        <v>0</v>
      </c>
      <c r="Y144" s="945"/>
      <c r="Z144" s="945"/>
      <c r="AA144" s="945"/>
      <c r="AB144" s="130"/>
      <c r="AC144" s="226">
        <v>3980</v>
      </c>
      <c r="AD144" s="74" t="s">
        <v>773</v>
      </c>
      <c r="AE144" s="944">
        <f>SUM(AE145:AH145)</f>
        <v>0</v>
      </c>
      <c r="AF144" s="945"/>
      <c r="AG144" s="945"/>
      <c r="AH144" s="945"/>
      <c r="AI144" s="14"/>
      <c r="AJ144" s="270"/>
    </row>
    <row r="145" spans="1:35" ht="21" hidden="1" customHeight="1" outlineLevel="2" x14ac:dyDescent="0.35">
      <c r="A145" s="1069"/>
      <c r="B145" s="1070"/>
      <c r="C145" s="1071"/>
      <c r="D145" s="839"/>
      <c r="E145" s="37"/>
      <c r="F145" s="15"/>
      <c r="G145" s="15"/>
      <c r="H145" s="15"/>
      <c r="I145" s="15"/>
      <c r="J145" s="15"/>
      <c r="K145" s="15"/>
      <c r="L145" s="15"/>
      <c r="M145" s="15"/>
      <c r="N145" s="15"/>
      <c r="O145" s="15"/>
      <c r="P145" s="15"/>
      <c r="Q145" s="15"/>
      <c r="R145" s="15"/>
      <c r="S145" s="15"/>
      <c r="T145" s="15"/>
      <c r="U145" s="245" t="s">
        <v>2377</v>
      </c>
      <c r="V145" s="246">
        <v>3480</v>
      </c>
      <c r="W145" s="225"/>
      <c r="X145" s="944">
        <f>+SUMIFS(COMPRAS!BG:BG,COMPRAS!BF:BF,V145,COMPRAS!DD:DD,"SI")+SUMIFS(COMPRAS!BP:BP,COMPRAS!BO:BO,V145,COMPRAS!DD:DD,"SI")+SUMIFS(COMPRAS!BY:BY,COMPRAS!BX:BX,V145,COMPRAS!DD:DD,"SI")</f>
        <v>0</v>
      </c>
      <c r="Y145" s="945"/>
      <c r="Z145" s="945"/>
      <c r="AA145" s="945"/>
      <c r="AB145" s="130"/>
      <c r="AC145" s="226"/>
      <c r="AD145" s="74"/>
      <c r="AE145" s="944">
        <f>SUMIFS(COMPRAS!BI:BI,COMPRAS!BF:BF,V145,COMPRAS!DD:DD,"SI")+SUMIFS(COMPRAS!BR:BR,COMPRAS!BO:BO,V145,COMPRAS!DD:DD,"SI")+SUMIFS(COMPRAS!CA:CA,COMPRAS!BX:BX,V145,COMPRAS!DD:DD,"SI")</f>
        <v>0</v>
      </c>
      <c r="AF145" s="945"/>
      <c r="AG145" s="945"/>
      <c r="AH145" s="945"/>
      <c r="AI145" s="14"/>
    </row>
    <row r="146" spans="1:35" ht="8.5" customHeight="1" outlineLevel="1" collapsed="1" thickBot="1" x14ac:dyDescent="0.4">
      <c r="A146" s="41"/>
      <c r="B146" s="15"/>
      <c r="C146" s="15"/>
      <c r="D146" s="15"/>
      <c r="E146" s="15"/>
      <c r="F146" s="15"/>
      <c r="G146" s="15"/>
      <c r="H146" s="15"/>
      <c r="I146" s="15"/>
      <c r="J146" s="15"/>
      <c r="K146" s="15"/>
      <c r="L146" s="15"/>
      <c r="M146" s="15"/>
      <c r="N146" s="15"/>
      <c r="O146" s="15"/>
      <c r="P146" s="15"/>
      <c r="Q146" s="15"/>
      <c r="R146" s="15"/>
      <c r="S146" s="15"/>
      <c r="T146" s="15"/>
      <c r="U146" s="245"/>
      <c r="V146" s="246"/>
      <c r="W146" s="225"/>
      <c r="X146" s="992"/>
      <c r="Y146" s="993"/>
      <c r="Z146" s="993"/>
      <c r="AA146" s="993"/>
      <c r="AB146" s="130"/>
      <c r="AC146" s="226"/>
      <c r="AD146" s="74"/>
      <c r="AE146" s="992"/>
      <c r="AF146" s="993"/>
      <c r="AG146" s="993"/>
      <c r="AH146" s="993"/>
      <c r="AI146" s="14"/>
    </row>
    <row r="147" spans="1:35" ht="21" customHeight="1" thickBot="1" x14ac:dyDescent="0.4">
      <c r="A147" s="1060" t="s">
        <v>957</v>
      </c>
      <c r="B147" s="1061"/>
      <c r="C147" s="1061"/>
      <c r="D147" s="1061"/>
      <c r="E147" s="1061"/>
      <c r="F147" s="1061"/>
      <c r="G147" s="1061"/>
      <c r="H147" s="1061"/>
      <c r="I147" s="1061"/>
      <c r="J147" s="1061"/>
      <c r="K147" s="1061"/>
      <c r="L147" s="1061"/>
      <c r="M147" s="1061"/>
      <c r="N147" s="1061"/>
      <c r="O147" s="1061"/>
      <c r="P147" s="1061"/>
      <c r="Q147" s="1061"/>
      <c r="R147" s="1061"/>
      <c r="S147" s="1061"/>
      <c r="T147" s="1061"/>
      <c r="U147" s="1062"/>
      <c r="V147" s="216">
        <v>349</v>
      </c>
      <c r="W147" s="244" t="s">
        <v>771</v>
      </c>
      <c r="X147" s="965">
        <f>X18+X19+X21+X23+X30+X31+X32+X33+X34+X36+X39+X41+X43+X64+X71+X72+X38+X74+X87+X91+X98+X101+X102+X103+X104+X105+X106+X53+X107+X108+X110+X114+X115+X116+X130+X128+X132+X133+X134+X135+X136+X45+X49+X120+X121+X122+X138+X112+X69+X118+X144</f>
        <v>0</v>
      </c>
      <c r="Y147" s="966"/>
      <c r="Z147" s="966"/>
      <c r="AA147" s="966"/>
      <c r="AB147" s="78"/>
      <c r="AC147" s="216">
        <v>399</v>
      </c>
      <c r="AD147" s="244" t="s">
        <v>771</v>
      </c>
      <c r="AE147" s="965">
        <f>AE18+AE19+AE21+AE23+AE30+AE31+AE32+AE33+AE34+AE36+AE39+AE41+AE43+AE64+AE71+AE72+AE38+AE74+AE87+AE91+AE98+AE101+AE102+AE103+AE104+AE105+AE106+AE53+AE107+AE108+AE110+AE114+AE115+AE116+AE130+AE128+AE132+AE133+AE134+AE135+AE136+AE45+AE49+AE120+AE121+AE122+AE138+AE112+AE69+AE118+AE144</f>
        <v>0</v>
      </c>
      <c r="AF147" s="966"/>
      <c r="AG147" s="966"/>
      <c r="AH147" s="966"/>
      <c r="AI147" s="56"/>
    </row>
    <row r="148" spans="1:35" ht="21" customHeight="1" thickBot="1" x14ac:dyDescent="0.4">
      <c r="A148" s="1057" t="s">
        <v>956</v>
      </c>
      <c r="B148" s="1058"/>
      <c r="C148" s="1058"/>
      <c r="D148" s="1058"/>
      <c r="E148" s="1058"/>
      <c r="F148" s="1058"/>
      <c r="G148" s="1058"/>
      <c r="H148" s="1058"/>
      <c r="I148" s="1058"/>
      <c r="J148" s="1058"/>
      <c r="K148" s="1058"/>
      <c r="L148" s="1058"/>
      <c r="M148" s="1058"/>
      <c r="N148" s="1058"/>
      <c r="O148" s="1058"/>
      <c r="P148" s="1058"/>
      <c r="Q148" s="1058"/>
      <c r="R148" s="1058"/>
      <c r="S148" s="1058"/>
      <c r="T148" s="1058"/>
      <c r="U148" s="1058"/>
      <c r="V148" s="1058"/>
      <c r="W148" s="1058"/>
      <c r="X148" s="1058"/>
      <c r="Y148" s="1058"/>
      <c r="Z148" s="1058"/>
      <c r="AA148" s="1058"/>
      <c r="AB148" s="1058"/>
      <c r="AC148" s="1058"/>
      <c r="AD148" s="1058"/>
      <c r="AE148" s="1058"/>
      <c r="AF148" s="1058"/>
      <c r="AG148" s="1058"/>
      <c r="AH148" s="1058"/>
      <c r="AI148" s="1059"/>
    </row>
    <row r="149" spans="1:35" ht="21" customHeight="1" outlineLevel="1" x14ac:dyDescent="0.35">
      <c r="A149" s="976" t="s">
        <v>955</v>
      </c>
      <c r="B149" s="977"/>
      <c r="C149" s="987"/>
      <c r="D149" s="118" t="s">
        <v>954</v>
      </c>
      <c r="E149" s="118"/>
      <c r="F149" s="118"/>
      <c r="G149" s="118"/>
      <c r="H149" s="118"/>
      <c r="I149" s="118"/>
      <c r="J149" s="118"/>
      <c r="K149" s="118"/>
      <c r="L149" s="118"/>
      <c r="M149" s="118"/>
      <c r="N149" s="118"/>
      <c r="O149" s="118"/>
      <c r="P149" s="118"/>
      <c r="Q149" s="118"/>
      <c r="R149" s="118"/>
      <c r="S149" s="118"/>
      <c r="T149" s="118"/>
      <c r="U149" s="243"/>
      <c r="V149" s="234">
        <v>402</v>
      </c>
      <c r="W149" s="148" t="s">
        <v>773</v>
      </c>
      <c r="X149" s="944">
        <f>SUM(X150)</f>
        <v>0</v>
      </c>
      <c r="Y149" s="945"/>
      <c r="Z149" s="945"/>
      <c r="AA149" s="945"/>
      <c r="AB149" s="118"/>
      <c r="AC149" s="234">
        <v>452</v>
      </c>
      <c r="AD149" s="233" t="s">
        <v>773</v>
      </c>
      <c r="AE149" s="946">
        <f>SUM(AE150:AH150)</f>
        <v>0</v>
      </c>
      <c r="AF149" s="947"/>
      <c r="AG149" s="947"/>
      <c r="AH149" s="947"/>
      <c r="AI149" s="232"/>
    </row>
    <row r="150" spans="1:35" ht="21" hidden="1" customHeight="1" outlineLevel="2" x14ac:dyDescent="0.35">
      <c r="A150" s="979"/>
      <c r="B150" s="980"/>
      <c r="C150" s="988"/>
      <c r="D150" s="43"/>
      <c r="E150" s="43"/>
      <c r="F150" s="43"/>
      <c r="G150" s="43"/>
      <c r="H150" s="43"/>
      <c r="I150" s="43"/>
      <c r="J150" s="43"/>
      <c r="K150" s="43"/>
      <c r="L150" s="43"/>
      <c r="M150" s="43"/>
      <c r="N150" s="43"/>
      <c r="O150" s="43"/>
      <c r="P150" s="43"/>
      <c r="Q150" s="43"/>
      <c r="R150" s="43"/>
      <c r="U150" s="229" t="s">
        <v>197</v>
      </c>
      <c r="V150" s="272" t="s">
        <v>196</v>
      </c>
      <c r="W150" s="74"/>
      <c r="X150" s="944">
        <f>SUMIFS(COMPRAS!BG:BG,COMPRAS!BF:BF,V150,COMPRAS!CS:CS,"=01-REGIMEN GENERAL",COMPRAS!CX:CX,"=SI",COMPRAS!DD:DD,"=SI")+SUMIFS(COMPRAS!BP:BP,COMPRAS!BO:BO,V150,COMPRAS!CS:CS,"=01-REGIMEN GENERAL",COMPRAS!CX:CX,"=SI",COMPRAS!DD:DD,"=SI")+SUMIFS(COMPRAS!BY:BY,COMPRAS!BX:BX,V150,COMPRAS!CS:CS,"=01-REGIMEN GENERAL",COMPRAS!CX:CX,"=SI",COMPRAS!DD:DD,"=SI")</f>
        <v>0</v>
      </c>
      <c r="Y150" s="945"/>
      <c r="Z150" s="945"/>
      <c r="AA150" s="945"/>
      <c r="AB150" s="43"/>
      <c r="AC150" s="111"/>
      <c r="AD150" s="227"/>
      <c r="AE150" s="944">
        <f>SUMIFS(COMPRAS!BI:BI,COMPRAS!BF:BF,V150,COMPRAS!CS:CS,"=01-REGIMEN GENERAL",COMPRAS!CX:CX,"=SI",COMPRAS!DD:DD,"=SI")+SUMIFS(COMPRAS!BR:BR,COMPRAS!BO:BO,V150,COMPRAS!CS:CS,"=01-REGIMEN GENERAL",COMPRAS!CX:CX,"=SI",COMPRAS!DD:DD,"=SI")+SUMIFS(COMPRAS!CA:CA,COMPRAS!BX:BX,V150,COMPRAS!CS:CS,"=01-REGIMEN GENERAL",COMPRAS!CX:CX,"=SI",COMPRAS!DD:DD,"=SI")</f>
        <v>0</v>
      </c>
      <c r="AF150" s="945"/>
      <c r="AG150" s="945"/>
      <c r="AH150" s="945"/>
      <c r="AI150" s="206"/>
    </row>
    <row r="151" spans="1:35" ht="21" customHeight="1" outlineLevel="1" collapsed="1" x14ac:dyDescent="0.35">
      <c r="A151" s="979"/>
      <c r="B151" s="980"/>
      <c r="C151" s="988"/>
      <c r="D151" s="43" t="s">
        <v>951</v>
      </c>
      <c r="E151" s="43"/>
      <c r="F151" s="43"/>
      <c r="G151" s="43"/>
      <c r="H151" s="43"/>
      <c r="I151" s="43"/>
      <c r="J151" s="43"/>
      <c r="K151" s="43"/>
      <c r="L151" s="43"/>
      <c r="M151" s="43"/>
      <c r="N151" s="43"/>
      <c r="O151" s="43"/>
      <c r="P151" s="43"/>
      <c r="Q151" s="43"/>
      <c r="R151" s="43"/>
      <c r="S151" s="37"/>
      <c r="T151" s="37"/>
      <c r="U151" s="242"/>
      <c r="V151" s="54">
        <v>403</v>
      </c>
      <c r="W151" s="53" t="s">
        <v>773</v>
      </c>
      <c r="X151" s="944">
        <f>SUM(X152:AA154)</f>
        <v>0</v>
      </c>
      <c r="Y151" s="945"/>
      <c r="Z151" s="945"/>
      <c r="AA151" s="945"/>
      <c r="AB151" s="15"/>
      <c r="AC151" s="111">
        <v>453</v>
      </c>
      <c r="AD151" s="227" t="s">
        <v>773</v>
      </c>
      <c r="AE151" s="944">
        <f>SUM(AE152:AH154)</f>
        <v>0</v>
      </c>
      <c r="AF151" s="945"/>
      <c r="AG151" s="945"/>
      <c r="AH151" s="945"/>
      <c r="AI151" s="14"/>
    </row>
    <row r="152" spans="1:35" ht="21" hidden="1" customHeight="1" outlineLevel="2" x14ac:dyDescent="0.35">
      <c r="A152" s="979"/>
      <c r="B152" s="980"/>
      <c r="C152" s="988"/>
      <c r="D152" s="43"/>
      <c r="E152" s="43"/>
      <c r="F152" s="43"/>
      <c r="G152" s="43"/>
      <c r="H152" s="43"/>
      <c r="I152" s="43"/>
      <c r="J152" s="43"/>
      <c r="K152" s="43"/>
      <c r="L152" s="43"/>
      <c r="M152" s="43"/>
      <c r="N152" s="43"/>
      <c r="O152" s="43"/>
      <c r="P152" s="43"/>
      <c r="Q152" s="43"/>
      <c r="R152" s="43"/>
      <c r="S152" s="37"/>
      <c r="T152" s="37"/>
      <c r="U152" s="229" t="s">
        <v>191</v>
      </c>
      <c r="V152" s="272" t="s">
        <v>190</v>
      </c>
      <c r="W152" s="225"/>
      <c r="X152" s="944">
        <f>SUMIFS(COMPRAS!BG:BG,COMPRAS!BF:BF,V152,COMPRAS!CS:CS,"=01-REGIMEN GENERAL",COMPRAS!CX:CX,"=SI",COMPRAS!DD:DD,"=SI")+SUMIFS(COMPRAS!BP:BP,COMPRAS!BO:BO,V152,COMPRAS!CS:CS,"=01-REGIMEN GENERAL",COMPRAS!CX:CX,"=SI",COMPRAS!DD:DD,"=SI")+SUMIFS(COMPRAS!BY:BY,COMPRAS!BX:BX,V152,COMPRAS!CS:CS,"=01-REGIMEN GENERAL",COMPRAS!CX:CX,"=SI",COMPRAS!DD:DD,"=SI")</f>
        <v>0</v>
      </c>
      <c r="Y152" s="945"/>
      <c r="Z152" s="945"/>
      <c r="AA152" s="945"/>
      <c r="AB152" s="224"/>
      <c r="AC152" s="52"/>
      <c r="AD152" s="227"/>
      <c r="AE152" s="944">
        <f>SUMIFS(COMPRAS!BI:BI,COMPRAS!BF:BF,V152,COMPRAS!CS:CS,"=01-REGIMEN GENERAL",COMPRAS!CX:CX,"=SI",COMPRAS!DD:DD,"=SI")+SUMIFS(COMPRAS!BR:BR,COMPRAS!BO:BO,V152,COMPRAS!CS:CS,"=01-REGIMEN GENERAL",COMPRAS!CX:CX,"=SI",COMPRAS!DD:DD,"=SI")+SUMIFS(COMPRAS!CA:CA,COMPRAS!BX:BX,V152,COMPRAS!CS:CS,"=01-REGIMEN GENERAL",COMPRAS!CX:CX,"=SI",COMPRAS!DD:DD,"=SI")</f>
        <v>0</v>
      </c>
      <c r="AF152" s="945"/>
      <c r="AG152" s="945"/>
      <c r="AH152" s="945"/>
      <c r="AI152" s="206"/>
    </row>
    <row r="153" spans="1:35" ht="21" hidden="1" customHeight="1" outlineLevel="2" x14ac:dyDescent="0.35">
      <c r="A153" s="979"/>
      <c r="B153" s="980"/>
      <c r="C153" s="988"/>
      <c r="D153" s="43"/>
      <c r="E153" s="43"/>
      <c r="F153" s="43"/>
      <c r="G153" s="43"/>
      <c r="H153" s="43"/>
      <c r="I153" s="43"/>
      <c r="J153" s="43"/>
      <c r="K153" s="43"/>
      <c r="L153" s="43"/>
      <c r="M153" s="43"/>
      <c r="N153" s="43"/>
      <c r="O153" s="43"/>
      <c r="P153" s="43"/>
      <c r="Q153" s="43"/>
      <c r="R153" s="43"/>
      <c r="S153" s="37"/>
      <c r="T153" s="37"/>
      <c r="U153" s="229" t="s">
        <v>193</v>
      </c>
      <c r="V153" s="272" t="s">
        <v>192</v>
      </c>
      <c r="W153" s="225"/>
      <c r="X153" s="944">
        <f>SUMIFS(COMPRAS!BG:BG,COMPRAS!BF:BF,V153,COMPRAS!CS:CS,"=01-REGIMEN GENERAL",COMPRAS!CX:CX,"=SI",COMPRAS!DD:DD,"=SI")+SUMIFS(COMPRAS!BP:BP,COMPRAS!BO:BO,V153,COMPRAS!CS:CS,"=01-REGIMEN GENERAL",COMPRAS!CX:CX,"=SI",COMPRAS!DD:DD,"=SI")+SUMIFS(COMPRAS!BY:BY,COMPRAS!BX:BX,V153,COMPRAS!CS:CS,"=01-REGIMEN GENERAL",COMPRAS!CX:CX,"=SI",COMPRAS!DD:DD,"=SI")</f>
        <v>0</v>
      </c>
      <c r="Y153" s="945"/>
      <c r="Z153" s="945"/>
      <c r="AA153" s="945"/>
      <c r="AB153" s="224"/>
      <c r="AC153" s="52"/>
      <c r="AD153" s="227"/>
      <c r="AE153" s="944">
        <f>SUMIFS(COMPRAS!BI:BI,COMPRAS!BF:BF,V153,COMPRAS!CS:CS,"=01-REGIMEN GENERAL",COMPRAS!CX:CX,"=SI",COMPRAS!DD:DD,"=SI")+SUMIFS(COMPRAS!BR:BR,COMPRAS!BO:BO,V153,COMPRAS!CS:CS,"=01-REGIMEN GENERAL",COMPRAS!CX:CX,"=SI",COMPRAS!DD:DD,"=SI")+SUMIFS(COMPRAS!CA:CA,COMPRAS!BX:BX,V153,COMPRAS!CS:CS,"=01-REGIMEN GENERAL",COMPRAS!CX:CX,"=SI",COMPRAS!DD:DD,"=SI")</f>
        <v>0</v>
      </c>
      <c r="AF153" s="945"/>
      <c r="AG153" s="945"/>
      <c r="AH153" s="945"/>
      <c r="AI153" s="206"/>
    </row>
    <row r="154" spans="1:35" ht="21" hidden="1" customHeight="1" outlineLevel="2" x14ac:dyDescent="0.35">
      <c r="A154" s="979"/>
      <c r="B154" s="980"/>
      <c r="C154" s="988"/>
      <c r="D154" s="43"/>
      <c r="E154" s="43"/>
      <c r="F154" s="43"/>
      <c r="G154" s="43"/>
      <c r="H154" s="43"/>
      <c r="I154" s="43"/>
      <c r="J154" s="43"/>
      <c r="K154" s="43"/>
      <c r="L154" s="43"/>
      <c r="M154" s="43"/>
      <c r="N154" s="43"/>
      <c r="O154" s="43"/>
      <c r="P154" s="43"/>
      <c r="Q154" s="43"/>
      <c r="R154" s="43"/>
      <c r="S154" s="37"/>
      <c r="T154" s="37"/>
      <c r="U154" s="229" t="s">
        <v>195</v>
      </c>
      <c r="V154" s="272" t="s">
        <v>194</v>
      </c>
      <c r="W154" s="225"/>
      <c r="X154" s="944">
        <f>SUMIFS(COMPRAS!BG:BG,COMPRAS!BF:BF,V154,COMPRAS!CS:CS,"=01-REGIMEN GENERAL",COMPRAS!CX:CX,"=SI",COMPRAS!DD:DD,"=SI")+SUMIFS(COMPRAS!BP:BP,COMPRAS!BO:BO,V154,COMPRAS!CS:CS,"=01-REGIMEN GENERAL",COMPRAS!CX:CX,"=SI",COMPRAS!DD:DD,"=SI")+SUMIFS(COMPRAS!BY:BY,COMPRAS!BX:BX,V154,COMPRAS!CS:CS,"=01-REGIMEN GENERAL",COMPRAS!CX:CX,"=SI",COMPRAS!DD:DD,"=SI")</f>
        <v>0</v>
      </c>
      <c r="Y154" s="945"/>
      <c r="Z154" s="945"/>
      <c r="AA154" s="945"/>
      <c r="AB154" s="224"/>
      <c r="AC154" s="54"/>
      <c r="AD154" s="227"/>
      <c r="AE154" s="944">
        <f>SUMIFS(COMPRAS!BI:BI,COMPRAS!BF:BF,V154,COMPRAS!CS:CS,"=01-REGIMEN GENERAL",COMPRAS!CX:CX,"=SI",COMPRAS!DD:DD,"=SI")+SUMIFS(COMPRAS!BR:BR,COMPRAS!BO:BO,V154,COMPRAS!CS:CS,"=01-REGIMEN GENERAL",COMPRAS!CX:CX,"=SI",COMPRAS!DD:DD,"=SI")+SUMIFS(COMPRAS!CA:CA,COMPRAS!BX:BX,V154,COMPRAS!CS:CS,"=01-REGIMEN GENERAL",COMPRAS!CX:CX,"=SI",COMPRAS!DD:DD,"=SI")</f>
        <v>0</v>
      </c>
      <c r="AF154" s="945"/>
      <c r="AG154" s="945"/>
      <c r="AH154" s="945"/>
      <c r="AI154" s="206"/>
    </row>
    <row r="155" spans="1:35" ht="21" customHeight="1" outlineLevel="1" collapsed="1" x14ac:dyDescent="0.35">
      <c r="A155" s="979"/>
      <c r="B155" s="980"/>
      <c r="C155" s="988"/>
      <c r="D155" s="43" t="s">
        <v>948</v>
      </c>
      <c r="E155" s="43"/>
      <c r="F155" s="43"/>
      <c r="G155" s="43"/>
      <c r="H155" s="43"/>
      <c r="I155" s="43"/>
      <c r="J155" s="43"/>
      <c r="K155" s="43"/>
      <c r="L155" s="43"/>
      <c r="M155" s="43"/>
      <c r="N155" s="43"/>
      <c r="O155" s="43"/>
      <c r="P155" s="43"/>
      <c r="Q155" s="43"/>
      <c r="R155" s="43"/>
      <c r="S155" s="37"/>
      <c r="T155" s="37"/>
      <c r="U155" s="242"/>
      <c r="V155" s="54">
        <v>404</v>
      </c>
      <c r="W155" s="53" t="s">
        <v>773</v>
      </c>
      <c r="X155" s="944">
        <f>SUM(X156:AA158)</f>
        <v>0</v>
      </c>
      <c r="Y155" s="945"/>
      <c r="Z155" s="945"/>
      <c r="AA155" s="945"/>
      <c r="AB155" s="15"/>
      <c r="AC155" s="111">
        <v>454</v>
      </c>
      <c r="AD155" s="227" t="s">
        <v>773</v>
      </c>
      <c r="AE155" s="944">
        <f>SUM(AE156:AH158)</f>
        <v>0</v>
      </c>
      <c r="AF155" s="945"/>
      <c r="AG155" s="945"/>
      <c r="AH155" s="945"/>
      <c r="AI155" s="14"/>
    </row>
    <row r="156" spans="1:35" ht="21" hidden="1" customHeight="1" outlineLevel="2" x14ac:dyDescent="0.35">
      <c r="A156" s="979"/>
      <c r="B156" s="980"/>
      <c r="C156" s="988"/>
      <c r="D156" s="15"/>
      <c r="E156" s="15"/>
      <c r="F156" s="15"/>
      <c r="G156" s="15"/>
      <c r="H156" s="15"/>
      <c r="I156" s="15"/>
      <c r="J156" s="15"/>
      <c r="K156" s="15"/>
      <c r="L156" s="15"/>
      <c r="M156" s="15"/>
      <c r="N156" s="15"/>
      <c r="O156" s="15"/>
      <c r="P156" s="15"/>
      <c r="Q156" s="15"/>
      <c r="R156" s="15"/>
      <c r="S156" s="15"/>
      <c r="T156" s="15"/>
      <c r="U156" s="229" t="s">
        <v>1085</v>
      </c>
      <c r="V156" s="272" t="s">
        <v>185</v>
      </c>
      <c r="W156" s="225" t="s">
        <v>773</v>
      </c>
      <c r="X156" s="944">
        <f>SUMIFS(COMPRAS!BG:BG,COMPRAS!BF:BF,V156,COMPRAS!CS:CS,"=01-REGIMEN GENERAL",COMPRAS!CX:CX,"=SI",COMPRAS!DD:DD,"=SI")+SUMIFS(COMPRAS!BP:BP,COMPRAS!BO:BO,V156,COMPRAS!CS:CS,"=01-REGIMEN GENERAL",COMPRAS!CX:CX,"=SI",COMPRAS!DD:DD,"=SI")+SUMIFS(COMPRAS!BY:BY,COMPRAS!BX:BX,V156,COMPRAS!CS:CS,"=01-REGIMEN GENERAL",COMPRAS!CX:CX,"=SI",COMPRAS!DD:DD,"=SI")</f>
        <v>0</v>
      </c>
      <c r="Y156" s="945"/>
      <c r="Z156" s="945"/>
      <c r="AA156" s="945"/>
      <c r="AB156" s="224"/>
      <c r="AC156" s="54"/>
      <c r="AD156" s="227" t="s">
        <v>773</v>
      </c>
      <c r="AE156" s="944">
        <f>SUMIFS(COMPRAS!BI:BI,COMPRAS!BF:BF,V156,COMPRAS!CS:CS,"=01-REGIMEN GENERAL",COMPRAS!CX:CX,"=SI",COMPRAS!DD:DD,"=SI")+SUMIFS(COMPRAS!BR:BR,COMPRAS!BO:BO,V156,COMPRAS!CS:CS,"=01-REGIMEN GENERAL",COMPRAS!CX:CX,"=SI",COMPRAS!DD:DD,"=SI")+SUMIFS(COMPRAS!CA:CA,COMPRAS!BX:BX,V156,COMPRAS!CS:CS,"=01-REGIMEN GENERAL",COMPRAS!CX:CX,"=SI",COMPRAS!DD:DD,"=SI")</f>
        <v>0</v>
      </c>
      <c r="AF156" s="945"/>
      <c r="AG156" s="945"/>
      <c r="AH156" s="945"/>
      <c r="AI156" s="206"/>
    </row>
    <row r="157" spans="1:35" ht="21" hidden="1" customHeight="1" outlineLevel="2" x14ac:dyDescent="0.35">
      <c r="A157" s="979"/>
      <c r="B157" s="980"/>
      <c r="C157" s="988"/>
      <c r="D157" s="15"/>
      <c r="E157" s="15"/>
      <c r="F157" s="15"/>
      <c r="G157" s="15"/>
      <c r="H157" s="15"/>
      <c r="I157" s="15"/>
      <c r="J157" s="15"/>
      <c r="K157" s="15"/>
      <c r="L157" s="15"/>
      <c r="M157" s="15"/>
      <c r="N157" s="15"/>
      <c r="O157" s="15"/>
      <c r="P157" s="15"/>
      <c r="Q157" s="15"/>
      <c r="R157" s="15"/>
      <c r="S157" s="15"/>
      <c r="T157" s="15"/>
      <c r="U157" s="229" t="s">
        <v>1087</v>
      </c>
      <c r="V157" s="272" t="s">
        <v>187</v>
      </c>
      <c r="W157" s="225" t="s">
        <v>773</v>
      </c>
      <c r="X157" s="944">
        <f>SUMIFS(COMPRAS!BG:BG,COMPRAS!BF:BF,V157,COMPRAS!CS:CS,"=01-REGIMEN GENERAL",COMPRAS!CX:CX,"=SI",COMPRAS!DD:DD,"=SI")+SUMIFS(COMPRAS!BP:BP,COMPRAS!BO:BO,V157,COMPRAS!CS:CS,"=01-REGIMEN GENERAL",COMPRAS!CX:CX,"=SI",COMPRAS!DD:DD,"=SI")+SUMIFS(COMPRAS!BY:BY,COMPRAS!BX:BX,V157,COMPRAS!CS:CS,"=01-REGIMEN GENERAL",COMPRAS!CX:CX,"=SI",COMPRAS!DD:DD,"=SI")</f>
        <v>0</v>
      </c>
      <c r="Y157" s="945"/>
      <c r="Z157" s="945"/>
      <c r="AA157" s="945"/>
      <c r="AB157" s="224"/>
      <c r="AC157" s="54"/>
      <c r="AD157" s="227" t="s">
        <v>773</v>
      </c>
      <c r="AE157" s="944">
        <f>SUMIFS(COMPRAS!BI:BI,COMPRAS!BF:BF,V157,COMPRAS!CS:CS,"=01-REGIMEN GENERAL",COMPRAS!CX:CX,"=SI",COMPRAS!DD:DD,"=SI")+SUMIFS(COMPRAS!BR:BR,COMPRAS!BO:BO,V157,COMPRAS!CS:CS,"=01-REGIMEN GENERAL",COMPRAS!CX:CX,"=SI",COMPRAS!DD:DD,"=SI")+SUMIFS(COMPRAS!CA:CA,COMPRAS!BX:BX,V157,COMPRAS!CS:CS,"=01-REGIMEN GENERAL",COMPRAS!CX:CX,"=SI",COMPRAS!DD:DD,"=SI")</f>
        <v>0</v>
      </c>
      <c r="AF157" s="945"/>
      <c r="AG157" s="945"/>
      <c r="AH157" s="945"/>
      <c r="AI157" s="206"/>
    </row>
    <row r="158" spans="1:35" ht="21" hidden="1" customHeight="1" outlineLevel="2" x14ac:dyDescent="0.35">
      <c r="A158" s="979"/>
      <c r="B158" s="980"/>
      <c r="C158" s="988"/>
      <c r="D158" s="15"/>
      <c r="E158" s="15"/>
      <c r="F158" s="15"/>
      <c r="G158" s="15"/>
      <c r="H158" s="15"/>
      <c r="I158" s="15"/>
      <c r="J158" s="15"/>
      <c r="K158" s="15"/>
      <c r="L158" s="15"/>
      <c r="M158" s="15"/>
      <c r="N158" s="15"/>
      <c r="O158" s="15"/>
      <c r="P158" s="15"/>
      <c r="Q158" s="15"/>
      <c r="R158" s="15"/>
      <c r="S158" s="15"/>
      <c r="T158" s="15"/>
      <c r="U158" s="229" t="s">
        <v>1070</v>
      </c>
      <c r="V158" s="272" t="s">
        <v>1069</v>
      </c>
      <c r="W158" s="225" t="s">
        <v>773</v>
      </c>
      <c r="X158" s="944">
        <f>SUMIFS(COMPRAS!BG:BG,COMPRAS!BF:BF,V158,COMPRAS!CS:CS,"=01-REGIMEN GENERAL",COMPRAS!CX:CX,"=SI",COMPRAS!DD:DD,"=SI")+SUMIFS(COMPRAS!BP:BP,COMPRAS!BO:BO,V158,COMPRAS!CS:CS,"=01-REGIMEN GENERAL",COMPRAS!CX:CX,"=SI",COMPRAS!DD:DD,"=SI")+SUMIFS(COMPRAS!BY:BY,COMPRAS!BX:BX,V158,COMPRAS!CS:CS,"=01-REGIMEN GENERAL",COMPRAS!CX:CX,"=SI",COMPRAS!DD:DD,"=SI")</f>
        <v>0</v>
      </c>
      <c r="Y158" s="945"/>
      <c r="Z158" s="945"/>
      <c r="AA158" s="945"/>
      <c r="AB158" s="224"/>
      <c r="AC158" s="54"/>
      <c r="AD158" s="227" t="s">
        <v>773</v>
      </c>
      <c r="AE158" s="944">
        <f>SUMIFS(COMPRAS!BI:BI,COMPRAS!BF:BF,V158,COMPRAS!CS:CS,"=01-REGIMEN GENERAL",COMPRAS!CX:CX,"=SI",COMPRAS!DD:DD,"=SI")+SUMIFS(COMPRAS!BR:BR,COMPRAS!BO:BO,V158,COMPRAS!CS:CS,"=01-REGIMEN GENERAL",COMPRAS!CX:CX,"=SI",COMPRAS!DD:DD,"=SI")+SUMIFS(COMPRAS!CA:CA,COMPRAS!BX:BX,V158,COMPRAS!CS:CS,"=01-REGIMEN GENERAL",COMPRAS!CX:CX,"=SI",COMPRAS!DD:DD,"=SI")</f>
        <v>0</v>
      </c>
      <c r="AF158" s="945"/>
      <c r="AG158" s="945"/>
      <c r="AH158" s="945"/>
      <c r="AI158" s="206"/>
    </row>
    <row r="159" spans="1:35" ht="21" customHeight="1" outlineLevel="1" collapsed="1" x14ac:dyDescent="0.35">
      <c r="A159" s="979"/>
      <c r="B159" s="980"/>
      <c r="C159" s="988"/>
      <c r="D159" s="15" t="s">
        <v>947</v>
      </c>
      <c r="E159" s="15"/>
      <c r="F159" s="15"/>
      <c r="G159" s="15"/>
      <c r="H159" s="15"/>
      <c r="I159" s="15"/>
      <c r="J159" s="15"/>
      <c r="K159" s="15"/>
      <c r="L159" s="15"/>
      <c r="M159" s="15"/>
      <c r="N159" s="15"/>
      <c r="O159" s="15"/>
      <c r="P159" s="15"/>
      <c r="Q159" s="15"/>
      <c r="R159" s="15"/>
      <c r="S159" s="15"/>
      <c r="T159" s="15"/>
      <c r="U159" s="130"/>
      <c r="V159" s="226">
        <v>405</v>
      </c>
      <c r="W159" s="225" t="s">
        <v>773</v>
      </c>
      <c r="X159" s="944">
        <f>SUM(X160)</f>
        <v>0</v>
      </c>
      <c r="Y159" s="945"/>
      <c r="Z159" s="945"/>
      <c r="AA159" s="945"/>
      <c r="AB159" s="224"/>
      <c r="AC159" s="1066"/>
      <c r="AD159" s="1066"/>
      <c r="AE159" s="1066"/>
      <c r="AF159" s="1066"/>
      <c r="AG159" s="1066"/>
      <c r="AH159" s="1066"/>
      <c r="AI159" s="1067"/>
    </row>
    <row r="160" spans="1:35" ht="21" hidden="1" customHeight="1" outlineLevel="2" x14ac:dyDescent="0.35">
      <c r="A160" s="979"/>
      <c r="B160" s="980"/>
      <c r="C160" s="988"/>
      <c r="D160" s="15"/>
      <c r="E160" s="15"/>
      <c r="F160" s="15"/>
      <c r="G160" s="15"/>
      <c r="H160" s="15"/>
      <c r="I160" s="15"/>
      <c r="J160" s="15"/>
      <c r="K160" s="15"/>
      <c r="L160" s="15"/>
      <c r="M160" s="15"/>
      <c r="N160" s="15"/>
      <c r="O160" s="15"/>
      <c r="P160" s="15"/>
      <c r="Q160" s="15"/>
      <c r="R160" s="15"/>
      <c r="S160" s="15"/>
      <c r="T160" s="15"/>
      <c r="U160" s="229" t="s">
        <v>179</v>
      </c>
      <c r="V160" s="228">
        <v>504</v>
      </c>
      <c r="W160" s="225"/>
      <c r="X160" s="944">
        <f>SUMIFS(COMPRAS!BG:BG,COMPRAS!BF:BF,V160,COMPRAS!CS:CS,"=01-REGIMEN GENERAL",COMPRAS!CX:CX,"=SI",COMPRAS!DD:DD,"=SI")+SUMIFS(COMPRAS!BP:BP,COMPRAS!BO:BO,V160,COMPRAS!CS:CS,"=01-REGIMEN GENERAL",COMPRAS!CX:CX,"=SI",COMPRAS!DD:DD,"=SI")+SUMIFS(COMPRAS!BY:BY,COMPRAS!BX:BX,V160,COMPRAS!CS:CS,"=01-REGIMEN GENERAL",COMPRAS!CX:CX,"=SI",COMPRAS!DD:DD,"=SI")</f>
        <v>0</v>
      </c>
      <c r="Y160" s="945"/>
      <c r="Z160" s="945"/>
      <c r="AA160" s="945"/>
      <c r="AB160" s="224"/>
      <c r="AC160" s="1063"/>
      <c r="AD160" s="1064"/>
      <c r="AE160" s="1064"/>
      <c r="AF160" s="1064"/>
      <c r="AG160" s="1064"/>
      <c r="AH160" s="1064"/>
      <c r="AI160" s="1065"/>
    </row>
    <row r="161" spans="1:35" ht="21" customHeight="1" outlineLevel="1" collapsed="1" x14ac:dyDescent="0.35">
      <c r="A161" s="979"/>
      <c r="B161" s="980"/>
      <c r="C161" s="988"/>
      <c r="D161" s="15" t="s">
        <v>946</v>
      </c>
      <c r="E161" s="15"/>
      <c r="F161" s="15"/>
      <c r="G161" s="15"/>
      <c r="H161" s="15"/>
      <c r="I161" s="15"/>
      <c r="J161" s="15"/>
      <c r="K161" s="15"/>
      <c r="L161" s="15"/>
      <c r="M161" s="15"/>
      <c r="N161" s="15"/>
      <c r="O161" s="15"/>
      <c r="P161" s="15"/>
      <c r="Q161" s="15"/>
      <c r="R161" s="15"/>
      <c r="S161" s="15"/>
      <c r="T161" s="15"/>
      <c r="U161" s="130"/>
      <c r="V161" s="226">
        <v>406</v>
      </c>
      <c r="W161" s="225" t="s">
        <v>773</v>
      </c>
      <c r="X161" s="944">
        <f>SUM(X162:AA162)</f>
        <v>0</v>
      </c>
      <c r="Y161" s="945"/>
      <c r="Z161" s="945"/>
      <c r="AA161" s="945"/>
      <c r="AB161" s="224"/>
      <c r="AC161" s="111">
        <v>456</v>
      </c>
      <c r="AD161" s="227" t="s">
        <v>773</v>
      </c>
      <c r="AE161" s="946">
        <f>SUM(AE162:AH162)</f>
        <v>0</v>
      </c>
      <c r="AF161" s="947"/>
      <c r="AG161" s="947"/>
      <c r="AH161" s="947"/>
      <c r="AI161" s="206"/>
    </row>
    <row r="162" spans="1:35" ht="21" hidden="1" customHeight="1" outlineLevel="2" x14ac:dyDescent="0.35">
      <c r="A162" s="979"/>
      <c r="B162" s="980"/>
      <c r="C162" s="988"/>
      <c r="D162" s="15"/>
      <c r="E162" s="15"/>
      <c r="F162" s="15"/>
      <c r="G162" s="15"/>
      <c r="H162" s="15"/>
      <c r="I162" s="15"/>
      <c r="J162" s="15"/>
      <c r="K162" s="15"/>
      <c r="L162" s="15"/>
      <c r="M162" s="15"/>
      <c r="N162" s="15"/>
      <c r="O162" s="15"/>
      <c r="P162" s="15"/>
      <c r="Q162" s="15"/>
      <c r="R162" s="15"/>
      <c r="S162" s="15"/>
      <c r="T162" s="15"/>
      <c r="U162" s="229" t="s">
        <v>181</v>
      </c>
      <c r="V162" s="228" t="s">
        <v>180</v>
      </c>
      <c r="W162" s="225"/>
      <c r="X162" s="944">
        <f>SUMIFS(COMPRAS!BG:BG,COMPRAS!BF:BF,V162,COMPRAS!CS:CS,"=01-REGIMEN GENERAL",COMPRAS!CX:CX,"=SI",COMPRAS!DD:DD,"=SI")+SUMIFS(COMPRAS!BP:BP,COMPRAS!BO:BO,V162,COMPRAS!CS:CS,"=01-REGIMEN GENERAL",COMPRAS!CX:CX,"=SI",COMPRAS!DD:DD,"=SI")+SUMIFS(COMPRAS!BY:BY,COMPRAS!BX:BX,V162,COMPRAS!CS:CS,"=01-REGIMEN GENERAL",COMPRAS!CX:CX,"=SI",COMPRAS!DD:DD,"=SI")</f>
        <v>0</v>
      </c>
      <c r="Y162" s="945"/>
      <c r="Z162" s="945"/>
      <c r="AA162" s="945"/>
      <c r="AB162" s="224"/>
      <c r="AC162" s="52"/>
      <c r="AD162" s="227"/>
      <c r="AE162" s="944">
        <f>SUMIFS(COMPRAS!BI:BI,COMPRAS!BF:BF,V162,COMPRAS!CS:CS,"=01-REGIMEN GENERAL",COMPRAS!CX:CX,"=SI",COMPRAS!DD:DD,"=SI")+SUMIFS(COMPRAS!BR:BR,COMPRAS!BO:BO,V162,COMPRAS!CS:CS,"=01-REGIMEN GENERAL",COMPRAS!CX:CX,"=SI",COMPRAS!DD:DD,"=SI")+SUMIFS(COMPRAS!CA:CA,COMPRAS!BX:BX,V162,COMPRAS!CS:CS,"=01-REGIMEN GENERAL",COMPRAS!CX:CX,"=SI",COMPRAS!DD:DD,"=SI")</f>
        <v>0</v>
      </c>
      <c r="AF162" s="945"/>
      <c r="AG162" s="945"/>
      <c r="AH162" s="945"/>
      <c r="AI162" s="206"/>
    </row>
    <row r="163" spans="1:35" ht="21" customHeight="1" outlineLevel="1" collapsed="1" x14ac:dyDescent="0.35">
      <c r="A163" s="979"/>
      <c r="B163" s="980"/>
      <c r="C163" s="988"/>
      <c r="D163" s="15" t="s">
        <v>945</v>
      </c>
      <c r="E163" s="15"/>
      <c r="F163" s="15"/>
      <c r="G163" s="15"/>
      <c r="H163" s="15"/>
      <c r="I163" s="15"/>
      <c r="J163" s="15"/>
      <c r="K163" s="15"/>
      <c r="L163" s="15"/>
      <c r="M163" s="15"/>
      <c r="N163" s="15"/>
      <c r="O163" s="15"/>
      <c r="P163" s="15"/>
      <c r="Q163" s="15"/>
      <c r="R163" s="15"/>
      <c r="S163" s="15"/>
      <c r="T163" s="15"/>
      <c r="U163" s="130"/>
      <c r="V163" s="226">
        <v>407</v>
      </c>
      <c r="W163" s="225" t="s">
        <v>773</v>
      </c>
      <c r="X163" s="944">
        <f>SUM(X164:AA164)</f>
        <v>0</v>
      </c>
      <c r="Y163" s="945"/>
      <c r="Z163" s="945"/>
      <c r="AA163" s="945"/>
      <c r="AB163" s="224"/>
      <c r="AC163" s="54">
        <v>457</v>
      </c>
      <c r="AD163" s="227" t="s">
        <v>773</v>
      </c>
      <c r="AE163" s="944">
        <f>SUM(AE164:AH164)</f>
        <v>0</v>
      </c>
      <c r="AF163" s="945"/>
      <c r="AG163" s="945"/>
      <c r="AH163" s="945"/>
      <c r="AI163" s="206"/>
    </row>
    <row r="164" spans="1:35" ht="21" hidden="1" customHeight="1" outlineLevel="2" x14ac:dyDescent="0.35">
      <c r="A164" s="979"/>
      <c r="B164" s="980"/>
      <c r="C164" s="988"/>
      <c r="D164" s="15"/>
      <c r="E164" s="15"/>
      <c r="F164" s="15"/>
      <c r="G164" s="15"/>
      <c r="H164" s="15"/>
      <c r="I164" s="15"/>
      <c r="J164" s="15"/>
      <c r="K164" s="15"/>
      <c r="L164" s="15"/>
      <c r="M164" s="15"/>
      <c r="N164" s="15"/>
      <c r="O164" s="15"/>
      <c r="P164" s="15"/>
      <c r="Q164" s="15"/>
      <c r="R164" s="15"/>
      <c r="S164" s="15"/>
      <c r="T164" s="15"/>
      <c r="U164" s="229" t="s">
        <v>1082</v>
      </c>
      <c r="V164" s="228" t="s">
        <v>182</v>
      </c>
      <c r="W164" s="225"/>
      <c r="X164" s="944">
        <f>SUMIFS(COMPRAS!BG:BG,COMPRAS!BF:BF,V164,COMPRAS!CS:CS,"=01-REGIMEN GENERAL",COMPRAS!CX:CX,"=SI",COMPRAS!DD:DD,"=SI")+SUMIFS(COMPRAS!BP:BP,COMPRAS!BO:BO,V164,COMPRAS!CS:CS,"=01-REGIMEN GENERAL",COMPRAS!CX:CX,"=SI",COMPRAS!DD:DD,"=SI")+SUMIFS(COMPRAS!BY:BY,COMPRAS!BX:BX,V164,COMPRAS!CS:CS,"=01-REGIMEN GENERAL",COMPRAS!CX:CX,"=SI",COMPRAS!DD:DD,"=SI")</f>
        <v>0</v>
      </c>
      <c r="Y164" s="945"/>
      <c r="Z164" s="945"/>
      <c r="AA164" s="945"/>
      <c r="AB164" s="224"/>
      <c r="AC164" s="52"/>
      <c r="AD164" s="227"/>
      <c r="AE164" s="944">
        <f>SUMIFS(COMPRAS!BI:BI,COMPRAS!BF:BF,V164,COMPRAS!CS:CS,"=01-REGIMEN GENERAL",COMPRAS!CX:CX,"=SI",COMPRAS!DD:DD,"=SI")+SUMIFS(COMPRAS!BR:BR,COMPRAS!BO:BO,V164,COMPRAS!CS:CS,"=01-REGIMEN GENERAL",COMPRAS!CX:CX,"=SI",COMPRAS!DD:DD,"=SI")+SUMIFS(COMPRAS!CA:CA,COMPRAS!BX:BX,V164,COMPRAS!CS:CS,"=01-REGIMEN GENERAL",COMPRAS!CX:CX,"=SI",COMPRAS!DD:DD,"=SI")</f>
        <v>0</v>
      </c>
      <c r="AF164" s="945"/>
      <c r="AG164" s="945"/>
      <c r="AH164" s="945"/>
      <c r="AI164" s="206"/>
    </row>
    <row r="165" spans="1:35" ht="21" customHeight="1" outlineLevel="1" collapsed="1" x14ac:dyDescent="0.35">
      <c r="A165" s="979"/>
      <c r="B165" s="980"/>
      <c r="C165" s="988"/>
      <c r="D165" s="15" t="s">
        <v>1216</v>
      </c>
      <c r="E165" s="15"/>
      <c r="F165" s="15"/>
      <c r="G165" s="15"/>
      <c r="H165" s="15"/>
      <c r="I165" s="15"/>
      <c r="J165" s="15"/>
      <c r="K165" s="15"/>
      <c r="L165" s="15"/>
      <c r="M165" s="15"/>
      <c r="N165" s="15"/>
      <c r="O165" s="15"/>
      <c r="P165" s="15"/>
      <c r="Q165" s="15"/>
      <c r="R165" s="15"/>
      <c r="S165" s="15"/>
      <c r="T165" s="15"/>
      <c r="U165" s="130"/>
      <c r="V165" s="226">
        <v>4050</v>
      </c>
      <c r="W165" s="225" t="s">
        <v>773</v>
      </c>
      <c r="X165" s="944">
        <f>SUM(X166)</f>
        <v>0</v>
      </c>
      <c r="Y165" s="945"/>
      <c r="Z165" s="945"/>
      <c r="AA165" s="945"/>
      <c r="AB165" s="224"/>
      <c r="AC165" s="54">
        <v>4550</v>
      </c>
      <c r="AD165" s="227" t="s">
        <v>773</v>
      </c>
      <c r="AE165" s="944">
        <f>SUM(AE166:AH166)</f>
        <v>0</v>
      </c>
      <c r="AF165" s="945"/>
      <c r="AG165" s="945"/>
      <c r="AH165" s="945"/>
      <c r="AI165" s="206"/>
    </row>
    <row r="166" spans="1:35" ht="21" hidden="1" customHeight="1" outlineLevel="2" x14ac:dyDescent="0.35">
      <c r="A166" s="979"/>
      <c r="B166" s="980"/>
      <c r="C166" s="988"/>
      <c r="D166" s="15"/>
      <c r="E166" s="15"/>
      <c r="F166" s="15"/>
      <c r="G166" s="15"/>
      <c r="H166" s="15"/>
      <c r="I166" s="15"/>
      <c r="J166" s="15"/>
      <c r="K166" s="15"/>
      <c r="L166" s="15"/>
      <c r="M166" s="15"/>
      <c r="N166" s="15"/>
      <c r="O166" s="15"/>
      <c r="P166" s="15"/>
      <c r="Q166" s="15"/>
      <c r="R166" s="15"/>
      <c r="S166" s="15"/>
      <c r="T166" s="15"/>
      <c r="U166" s="229" t="s">
        <v>1081</v>
      </c>
      <c r="V166" s="228">
        <v>504</v>
      </c>
      <c r="W166" s="225"/>
      <c r="X166" s="944">
        <f>SUMIFS(COMPRAS!BG:BG,COMPRAS!BF:BF,V166,COMPRAS!CS:CS,"=01-REGIMEN GENERAL",COMPRAS!CX:CX,"=SI",COMPRAS!DD:DD,"=SI")+SUMIFS(COMPRAS!BP:BP,COMPRAS!BO:BO,V166,COMPRAS!CS:CS,"=01-REGIMEN GENERAL",COMPRAS!CX:CX,"=SI",COMPRAS!DD:DD,"=SI")+SUMIFS(COMPRAS!BY:BY,COMPRAS!BX:BX,V166,COMPRAS!CS:CS,"=01-REGIMEN GENERAL",COMPRAS!CX:CX,"=SI",COMPRAS!DD:DD,"=SI")</f>
        <v>0</v>
      </c>
      <c r="Y166" s="945"/>
      <c r="Z166" s="945"/>
      <c r="AA166" s="945"/>
      <c r="AB166" s="224"/>
      <c r="AC166" s="52"/>
      <c r="AD166" s="227"/>
      <c r="AE166" s="944">
        <f>SUMIFS(COMPRAS!BI:BI,COMPRAS!BF:BF,V166,COMPRAS!CS:CS,"=01-REGIMEN GENERAL",COMPRAS!CX:CX,"=SI",COMPRAS!DD:DD,"=SI")+SUMIFS(COMPRAS!BR:BR,COMPRAS!BO:BO,V166,COMPRAS!CS:CS,"=01-REGIMEN GENERAL",COMPRAS!CX:CX,"=SI",COMPRAS!DD:DD,"=SI")+SUMIFS(COMPRAS!CA:CA,COMPRAS!BX:BX,V166,COMPRAS!CS:CS,"=01-REGIMEN GENERAL",COMPRAS!CX:CX,"=SI",COMPRAS!DD:DD,"=SI")</f>
        <v>0</v>
      </c>
      <c r="AF166" s="945"/>
      <c r="AG166" s="945"/>
      <c r="AH166" s="945"/>
      <c r="AI166" s="206"/>
    </row>
    <row r="167" spans="1:35" ht="21" customHeight="1" outlineLevel="1" collapsed="1" x14ac:dyDescent="0.35">
      <c r="A167" s="979"/>
      <c r="B167" s="980"/>
      <c r="C167" s="988"/>
      <c r="D167" s="15" t="s">
        <v>1217</v>
      </c>
      <c r="E167" s="15"/>
      <c r="F167" s="15"/>
      <c r="G167" s="15"/>
      <c r="H167" s="15"/>
      <c r="I167" s="15"/>
      <c r="J167" s="15"/>
      <c r="K167" s="15"/>
      <c r="L167" s="15"/>
      <c r="M167" s="15"/>
      <c r="N167" s="15"/>
      <c r="O167" s="15"/>
      <c r="P167" s="15"/>
      <c r="Q167" s="15"/>
      <c r="R167" s="15"/>
      <c r="S167" s="15"/>
      <c r="T167" s="15"/>
      <c r="U167" s="130"/>
      <c r="V167" s="226">
        <v>4060</v>
      </c>
      <c r="W167" s="225" t="s">
        <v>773</v>
      </c>
      <c r="X167" s="944">
        <f>SUM(X168)</f>
        <v>0</v>
      </c>
      <c r="Y167" s="945"/>
      <c r="Z167" s="945"/>
      <c r="AA167" s="945"/>
      <c r="AB167" s="224"/>
      <c r="AC167" s="54">
        <v>4560</v>
      </c>
      <c r="AD167" s="227" t="s">
        <v>773</v>
      </c>
      <c r="AE167" s="944">
        <f>SUM(AE168:AH168)</f>
        <v>0</v>
      </c>
      <c r="AF167" s="945"/>
      <c r="AG167" s="945"/>
      <c r="AH167" s="945"/>
      <c r="AI167" s="206"/>
    </row>
    <row r="168" spans="1:35" ht="21" hidden="1" customHeight="1" outlineLevel="2" x14ac:dyDescent="0.35">
      <c r="A168" s="979"/>
      <c r="B168" s="980"/>
      <c r="C168" s="988"/>
      <c r="D168" s="15"/>
      <c r="E168" s="15"/>
      <c r="F168" s="15"/>
      <c r="G168" s="15"/>
      <c r="H168" s="15"/>
      <c r="I168" s="15"/>
      <c r="J168" s="15"/>
      <c r="K168" s="15"/>
      <c r="L168" s="15"/>
      <c r="M168" s="15"/>
      <c r="N168" s="15"/>
      <c r="O168" s="15"/>
      <c r="P168" s="15"/>
      <c r="Q168" s="15"/>
      <c r="R168" s="15"/>
      <c r="S168" s="15"/>
      <c r="T168" s="15"/>
      <c r="U168" s="229" t="s">
        <v>1221</v>
      </c>
      <c r="V168" s="228" t="s">
        <v>180</v>
      </c>
      <c r="W168" s="225"/>
      <c r="X168" s="944">
        <f>SUMIFS(COMPRAS!BG:BG,COMPRAS!BF:BF,V168,COMPRAS!CS:CS,"=01-REGIMEN GENERAL",COMPRAS!CX:CX,"=SI",COMPRAS!DD:DD,"=SI")+SUMIFS(COMPRAS!BP:BP,COMPRAS!BO:BO,V168,COMPRAS!CS:CS,"=01-REGIMEN GENERAL",COMPRAS!CX:CX,"=SI",COMPRAS!DD:DD,"=SI")+SUMIFS(COMPRAS!BY:BY,COMPRAS!BX:BX,V168,COMPRAS!CS:CS,"=01-REGIMEN GENERAL",COMPRAS!CX:CX,"=SI",COMPRAS!DD:DD,"=SI")</f>
        <v>0</v>
      </c>
      <c r="Y168" s="945"/>
      <c r="Z168" s="945"/>
      <c r="AA168" s="945"/>
      <c r="AB168" s="224"/>
      <c r="AC168" s="52"/>
      <c r="AD168" s="227"/>
      <c r="AE168" s="944">
        <f>SUMIFS(COMPRAS!BI:BI,COMPRAS!BF:BF,V168,COMPRAS!CS:CS,"=01-REGIMEN GENERAL",COMPRAS!CX:CX,"=SI",COMPRAS!DD:DD,"=SI")+SUMIFS(COMPRAS!BR:BR,COMPRAS!BO:BO,V168,COMPRAS!CS:CS,"=01-REGIMEN GENERAL",COMPRAS!CX:CX,"=SI",COMPRAS!DD:DD,"=SI")+SUMIFS(COMPRAS!CA:CA,COMPRAS!BX:BX,V168,COMPRAS!CS:CS,"=01-REGIMEN GENERAL",COMPRAS!CX:CX,"=SI",COMPRAS!DD:DD,"=SI")</f>
        <v>0</v>
      </c>
      <c r="AF168" s="945"/>
      <c r="AG168" s="945"/>
      <c r="AH168" s="945"/>
      <c r="AI168" s="206"/>
    </row>
    <row r="169" spans="1:35" ht="21" customHeight="1" outlineLevel="1" collapsed="1" x14ac:dyDescent="0.35">
      <c r="A169" s="979"/>
      <c r="B169" s="980"/>
      <c r="C169" s="988"/>
      <c r="D169" s="15" t="s">
        <v>1218</v>
      </c>
      <c r="E169" s="15"/>
      <c r="F169" s="15"/>
      <c r="G169" s="15"/>
      <c r="H169" s="15"/>
      <c r="I169" s="15"/>
      <c r="J169" s="15"/>
      <c r="K169" s="15"/>
      <c r="L169" s="15"/>
      <c r="M169" s="15"/>
      <c r="N169" s="15"/>
      <c r="O169" s="15"/>
      <c r="P169" s="15"/>
      <c r="Q169" s="15"/>
      <c r="R169" s="15"/>
      <c r="S169" s="15"/>
      <c r="T169" s="15"/>
      <c r="U169" s="130"/>
      <c r="V169" s="226">
        <v>4070</v>
      </c>
      <c r="W169" s="225" t="s">
        <v>773</v>
      </c>
      <c r="X169" s="944">
        <f>SUM(X170)</f>
        <v>0</v>
      </c>
      <c r="Y169" s="945"/>
      <c r="Z169" s="945"/>
      <c r="AA169" s="945"/>
      <c r="AB169" s="224"/>
      <c r="AC169" s="54">
        <v>4570</v>
      </c>
      <c r="AD169" s="227" t="s">
        <v>773</v>
      </c>
      <c r="AE169" s="944">
        <f>SUM(AE170:AH170)</f>
        <v>0</v>
      </c>
      <c r="AF169" s="945"/>
      <c r="AG169" s="945"/>
      <c r="AH169" s="945"/>
      <c r="AI169" s="206"/>
    </row>
    <row r="170" spans="1:35" ht="21" hidden="1" customHeight="1" outlineLevel="2" x14ac:dyDescent="0.35">
      <c r="A170" s="979"/>
      <c r="B170" s="980"/>
      <c r="C170" s="988"/>
      <c r="D170" s="15"/>
      <c r="E170" s="15"/>
      <c r="F170" s="15"/>
      <c r="G170" s="15"/>
      <c r="H170" s="15"/>
      <c r="I170" s="15"/>
      <c r="J170" s="15"/>
      <c r="K170" s="15"/>
      <c r="L170" s="15"/>
      <c r="M170" s="15"/>
      <c r="N170" s="15"/>
      <c r="O170" s="15"/>
      <c r="P170" s="15"/>
      <c r="Q170" s="15"/>
      <c r="R170" s="15"/>
      <c r="S170" s="15"/>
      <c r="T170" s="15"/>
      <c r="U170" s="229" t="s">
        <v>1220</v>
      </c>
      <c r="V170" s="228" t="s">
        <v>182</v>
      </c>
      <c r="W170" s="225"/>
      <c r="X170" s="944">
        <f>SUMIFS(COMPRAS!BG:BG,COMPRAS!BF:BF,V170,COMPRAS!CS:CS,"=01-REGIMEN GENERAL",COMPRAS!CX:CX,"=SI",COMPRAS!DD:DD,"=SI")+SUMIFS(COMPRAS!BP:BP,COMPRAS!BO:BO,V170,COMPRAS!CS:CS,"=01-REGIMEN GENERAL",COMPRAS!CX:CX,"=SI",COMPRAS!DD:DD,"=SI")+SUMIFS(COMPRAS!BY:BY,COMPRAS!BX:BX,V170,COMPRAS!CS:CS,"=01-REGIMEN GENERAL",COMPRAS!CX:CX,"=SI",COMPRAS!DD:DD,"=SI")</f>
        <v>0</v>
      </c>
      <c r="Y170" s="945"/>
      <c r="Z170" s="945"/>
      <c r="AA170" s="945"/>
      <c r="AB170" s="224"/>
      <c r="AC170" s="52"/>
      <c r="AD170" s="227"/>
      <c r="AE170" s="944">
        <f>SUMIFS(COMPRAS!BI:BI,COMPRAS!BF:BF,V170,COMPRAS!CS:CS,"=01-REGIMEN GENERAL",COMPRAS!CX:CX,"=SI",COMPRAS!DD:DD,"=SI")+SUMIFS(COMPRAS!BR:BR,COMPRAS!BO:BO,V170,COMPRAS!CS:CS,"=01-REGIMEN GENERAL",COMPRAS!CX:CX,"=SI",COMPRAS!DD:DD,"=SI")+SUMIFS(COMPRAS!CA:CA,COMPRAS!BX:BX,V170,COMPRAS!CS:CS,"=01-REGIMEN GENERAL",COMPRAS!CX:CX,"=SI",COMPRAS!DD:DD,"=SI")</f>
        <v>0</v>
      </c>
      <c r="AF170" s="945"/>
      <c r="AG170" s="945"/>
      <c r="AH170" s="945"/>
      <c r="AI170" s="206"/>
    </row>
    <row r="171" spans="1:35" ht="21" customHeight="1" outlineLevel="1" collapsed="1" x14ac:dyDescent="0.35">
      <c r="A171" s="979"/>
      <c r="B171" s="980"/>
      <c r="C171" s="988"/>
      <c r="D171" s="15" t="s">
        <v>944</v>
      </c>
      <c r="E171" s="15"/>
      <c r="F171" s="15"/>
      <c r="G171" s="15"/>
      <c r="H171" s="15"/>
      <c r="I171" s="15"/>
      <c r="J171" s="15"/>
      <c r="K171" s="15"/>
      <c r="L171" s="15"/>
      <c r="M171" s="15"/>
      <c r="N171" s="15"/>
      <c r="O171" s="15"/>
      <c r="P171" s="15"/>
      <c r="Q171" s="15"/>
      <c r="R171" s="15"/>
      <c r="S171" s="15"/>
      <c r="T171" s="15"/>
      <c r="U171" s="130"/>
      <c r="V171" s="226">
        <v>408</v>
      </c>
      <c r="W171" s="225" t="s">
        <v>773</v>
      </c>
      <c r="X171" s="944">
        <f>SUM(X172:AA172)</f>
        <v>0</v>
      </c>
      <c r="Y171" s="945"/>
      <c r="Z171" s="945"/>
      <c r="AA171" s="945"/>
      <c r="AB171" s="224"/>
      <c r="AC171" s="54">
        <v>458</v>
      </c>
      <c r="AD171" s="227" t="s">
        <v>773</v>
      </c>
      <c r="AE171" s="944">
        <f>SUM(AE172:AH172)</f>
        <v>0</v>
      </c>
      <c r="AF171" s="945"/>
      <c r="AG171" s="945"/>
      <c r="AH171" s="945"/>
      <c r="AI171" s="206"/>
    </row>
    <row r="172" spans="1:35" ht="21" hidden="1" customHeight="1" outlineLevel="2" x14ac:dyDescent="0.35">
      <c r="A172" s="979"/>
      <c r="B172" s="980"/>
      <c r="C172" s="988"/>
      <c r="D172" s="15"/>
      <c r="E172" s="15"/>
      <c r="F172" s="15"/>
      <c r="G172" s="15"/>
      <c r="H172" s="15"/>
      <c r="I172" s="15"/>
      <c r="J172" s="15"/>
      <c r="K172" s="15"/>
      <c r="L172" s="15"/>
      <c r="M172" s="15"/>
      <c r="N172" s="15"/>
      <c r="O172" s="15"/>
      <c r="P172" s="15"/>
      <c r="Q172" s="15"/>
      <c r="R172" s="15"/>
      <c r="S172" s="15"/>
      <c r="T172" s="15"/>
      <c r="U172" s="229" t="s">
        <v>229</v>
      </c>
      <c r="V172" s="272">
        <v>521</v>
      </c>
      <c r="W172" s="225"/>
      <c r="X172" s="944">
        <f>SUMIFS(COMPRAS!BG:BG,COMPRAS!BF:BF,V172,COMPRAS!CS:CS,"=01-REGIMEN GENERAL",COMPRAS!CX:CX,"=SI",COMPRAS!DD:DD,"=SI")+SUMIFS(COMPRAS!BP:BP,COMPRAS!BO:BO,V172,COMPRAS!CS:CS,"=01-REGIMEN GENERAL",COMPRAS!CX:CX,"=SI",COMPRAS!DD:DD,"=SI")+SUMIFS(COMPRAS!BY:BY,COMPRAS!BX:BX,V172,COMPRAS!CS:CS,"=01-REGIMEN GENERAL",COMPRAS!CX:CX,"=SI",COMPRAS!DD:DD,"=SI")</f>
        <v>0</v>
      </c>
      <c r="Y172" s="945"/>
      <c r="Z172" s="945"/>
      <c r="AA172" s="945"/>
      <c r="AB172" s="224"/>
      <c r="AC172" s="52"/>
      <c r="AD172" s="227"/>
      <c r="AE172" s="944">
        <f>SUMIFS(COMPRAS!BI:BI,COMPRAS!BF:BF,V172,COMPRAS!CS:CS,"=01-REGIMEN GENERAL",COMPRAS!CX:CX,"=SI",COMPRAS!DD:DD,"=SI")+SUMIFS(COMPRAS!BR:BR,COMPRAS!BO:BO,V172,COMPRAS!CS:CS,"=01-REGIMEN GENERAL",COMPRAS!CX:CX,"=SI",COMPRAS!DD:DD,"=SI")+SUMIFS(COMPRAS!CA:CA,COMPRAS!BX:BX,V172,COMPRAS!CS:CS,"=01-REGIMEN GENERAL",COMPRAS!CX:CX,"=SI",COMPRAS!DD:DD,"=SI")</f>
        <v>0</v>
      </c>
      <c r="AF172" s="945"/>
      <c r="AG172" s="945"/>
      <c r="AH172" s="945"/>
      <c r="AI172" s="206"/>
    </row>
    <row r="173" spans="1:35" ht="21" customHeight="1" outlineLevel="1" collapsed="1" x14ac:dyDescent="0.35">
      <c r="A173" s="979"/>
      <c r="B173" s="980"/>
      <c r="C173" s="988"/>
      <c r="D173" s="15" t="s">
        <v>943</v>
      </c>
      <c r="E173" s="15"/>
      <c r="F173" s="15"/>
      <c r="G173" s="15"/>
      <c r="H173" s="15"/>
      <c r="I173" s="15"/>
      <c r="J173" s="15"/>
      <c r="K173" s="15"/>
      <c r="L173" s="15"/>
      <c r="M173" s="15"/>
      <c r="N173" s="15"/>
      <c r="O173" s="15"/>
      <c r="P173" s="15"/>
      <c r="Q173" s="15"/>
      <c r="R173" s="15"/>
      <c r="S173" s="15"/>
      <c r="T173" s="15"/>
      <c r="U173" s="130"/>
      <c r="V173" s="226">
        <v>409</v>
      </c>
      <c r="W173" s="225" t="s">
        <v>773</v>
      </c>
      <c r="X173" s="944">
        <f>SUM(X174:AA174)</f>
        <v>0</v>
      </c>
      <c r="Y173" s="945"/>
      <c r="Z173" s="945"/>
      <c r="AA173" s="945"/>
      <c r="AB173" s="224"/>
      <c r="AC173" s="54">
        <v>459</v>
      </c>
      <c r="AD173" s="227" t="s">
        <v>773</v>
      </c>
      <c r="AE173" s="944">
        <f>SUM(AE174:AH174)</f>
        <v>0</v>
      </c>
      <c r="AF173" s="945"/>
      <c r="AG173" s="945"/>
      <c r="AH173" s="945"/>
      <c r="AI173" s="206"/>
    </row>
    <row r="174" spans="1:35" ht="21" hidden="1" customHeight="1" outlineLevel="2" x14ac:dyDescent="0.35">
      <c r="A174" s="979"/>
      <c r="B174" s="980"/>
      <c r="C174" s="988"/>
      <c r="D174" s="15"/>
      <c r="E174" s="15"/>
      <c r="F174" s="15"/>
      <c r="G174" s="15"/>
      <c r="H174" s="15"/>
      <c r="I174" s="15"/>
      <c r="J174" s="15"/>
      <c r="K174" s="15"/>
      <c r="L174" s="15"/>
      <c r="M174" s="15"/>
      <c r="N174" s="15"/>
      <c r="O174" s="15"/>
      <c r="P174" s="15"/>
      <c r="Q174" s="15"/>
      <c r="R174" s="15"/>
      <c r="S174" s="15"/>
      <c r="T174" s="15"/>
      <c r="U174" s="229" t="s">
        <v>231</v>
      </c>
      <c r="V174" s="272" t="s">
        <v>230</v>
      </c>
      <c r="W174" s="225"/>
      <c r="X174" s="944">
        <f>SUMIFS(COMPRAS!BG:BG,COMPRAS!BF:BF,V174,COMPRAS!CS:CS,"=01-REGIMEN GENERAL",COMPRAS!CX:CX,"=SI",COMPRAS!DD:DD,"=SI")+SUMIFS(COMPRAS!BP:BP,COMPRAS!BO:BO,V174,COMPRAS!CS:CS,"=01-REGIMEN GENERAL",COMPRAS!CX:CX,"=SI",COMPRAS!DD:DD,"=SI")+SUMIFS(COMPRAS!BY:BY,COMPRAS!BX:BX,V174,COMPRAS!CS:CS,"=01-REGIMEN GENERAL",COMPRAS!CX:CX,"=SI",COMPRAS!DD:DD,"=SI")</f>
        <v>0</v>
      </c>
      <c r="Y174" s="945"/>
      <c r="Z174" s="945"/>
      <c r="AA174" s="945"/>
      <c r="AB174" s="224"/>
      <c r="AC174" s="52"/>
      <c r="AD174" s="227"/>
      <c r="AE174" s="944">
        <f>SUMIFS(COMPRAS!BI:BI,COMPRAS!BF:BF,V174,COMPRAS!CS:CS,"=01-REGIMEN GENERAL",COMPRAS!CX:CX,"=SI",COMPRAS!DD:DD,"=SI")+SUMIFS(COMPRAS!BR:BR,COMPRAS!BO:BO,V174,COMPRAS!CS:CS,"=01-REGIMEN GENERAL",COMPRAS!CX:CX,"=SI",COMPRAS!DD:DD,"=SI")+SUMIFS(COMPRAS!CA:CA,COMPRAS!BX:BX,V174,COMPRAS!CS:CS,"=01-REGIMEN GENERAL",COMPRAS!CX:CX,"=SI",COMPRAS!DD:DD,"=SI")</f>
        <v>0</v>
      </c>
      <c r="AF174" s="945"/>
      <c r="AG174" s="945"/>
      <c r="AH174" s="945"/>
      <c r="AI174" s="206"/>
    </row>
    <row r="175" spans="1:35" ht="21" customHeight="1" outlineLevel="1" collapsed="1" x14ac:dyDescent="0.35">
      <c r="A175" s="979"/>
      <c r="B175" s="980"/>
      <c r="C175" s="988"/>
      <c r="D175" s="15" t="s">
        <v>942</v>
      </c>
      <c r="E175" s="15"/>
      <c r="F175" s="15"/>
      <c r="G175" s="15"/>
      <c r="H175" s="15"/>
      <c r="I175" s="15"/>
      <c r="J175" s="15"/>
      <c r="K175" s="15"/>
      <c r="L175" s="15"/>
      <c r="M175" s="15"/>
      <c r="N175" s="15"/>
      <c r="O175" s="15"/>
      <c r="P175" s="15"/>
      <c r="Q175" s="15"/>
      <c r="R175" s="15"/>
      <c r="S175" s="15"/>
      <c r="T175" s="15"/>
      <c r="U175" s="130"/>
      <c r="V175" s="226">
        <v>410</v>
      </c>
      <c r="W175" s="225" t="s">
        <v>773</v>
      </c>
      <c r="X175" s="944">
        <f>SUM(X176:AA176)</f>
        <v>0</v>
      </c>
      <c r="Y175" s="945"/>
      <c r="Z175" s="945"/>
      <c r="AA175" s="945"/>
      <c r="AB175" s="224"/>
      <c r="AC175" s="54">
        <v>460</v>
      </c>
      <c r="AD175" s="227" t="s">
        <v>773</v>
      </c>
      <c r="AE175" s="944">
        <f>SUM(AE176:AH176)</f>
        <v>0</v>
      </c>
      <c r="AF175" s="945"/>
      <c r="AG175" s="945"/>
      <c r="AH175" s="945"/>
      <c r="AI175" s="206"/>
    </row>
    <row r="176" spans="1:35" ht="21" hidden="1" customHeight="1" outlineLevel="2" x14ac:dyDescent="0.35">
      <c r="A176" s="979"/>
      <c r="B176" s="980"/>
      <c r="C176" s="988"/>
      <c r="D176" s="15"/>
      <c r="E176" s="15"/>
      <c r="F176" s="15"/>
      <c r="G176" s="15"/>
      <c r="H176" s="15"/>
      <c r="I176" s="15"/>
      <c r="J176" s="15"/>
      <c r="K176" s="15"/>
      <c r="L176" s="15"/>
      <c r="M176" s="15"/>
      <c r="N176" s="15"/>
      <c r="O176" s="15"/>
      <c r="P176" s="15"/>
      <c r="Q176" s="15"/>
      <c r="R176" s="15"/>
      <c r="S176" s="15"/>
      <c r="T176" s="15"/>
      <c r="U176" s="229" t="s">
        <v>1068</v>
      </c>
      <c r="V176" s="272" t="s">
        <v>1067</v>
      </c>
      <c r="W176" s="225"/>
      <c r="X176" s="944">
        <f>SUMIFS(COMPRAS!BG:BG,COMPRAS!BF:BF,V176,COMPRAS!CS:CS,"=01-REGIMEN GENERAL",COMPRAS!CX:CX,"=SI",COMPRAS!DD:DD,"=SI")+SUMIFS(COMPRAS!BP:BP,COMPRAS!BO:BO,V176,COMPRAS!CS:CS,"=01-REGIMEN GENERAL",COMPRAS!CX:CX,"=SI",COMPRAS!DD:DD,"=SI")+SUMIFS(COMPRAS!BY:BY,COMPRAS!BX:BX,V176,COMPRAS!CS:CS,"=01-REGIMEN GENERAL",COMPRAS!CX:CX,"=SI",COMPRAS!DD:DD,"=SI")</f>
        <v>0</v>
      </c>
      <c r="Y176" s="945"/>
      <c r="Z176" s="945"/>
      <c r="AA176" s="945"/>
      <c r="AB176" s="224"/>
      <c r="AC176" s="52"/>
      <c r="AD176" s="227"/>
      <c r="AE176" s="944">
        <f>SUMIFS(COMPRAS!BI:BI,COMPRAS!BF:BF,V176,COMPRAS!CS:CS,"=01-REGIMEN GENERAL",COMPRAS!CX:CX,"=SI",COMPRAS!DD:DD,"=SI")+SUMIFS(COMPRAS!BR:BR,COMPRAS!BO:BO,V176,COMPRAS!CS:CS,"=01-REGIMEN GENERAL",COMPRAS!CX:CX,"=SI",COMPRAS!DD:DD,"=SI")+SUMIFS(COMPRAS!CA:CA,COMPRAS!BX:BX,V176,COMPRAS!CS:CS,"=01-REGIMEN GENERAL",COMPRAS!CX:CX,"=SI",COMPRAS!DD:DD,"=SI")</f>
        <v>0</v>
      </c>
      <c r="AF176" s="945"/>
      <c r="AG176" s="945"/>
      <c r="AH176" s="945"/>
      <c r="AI176" s="206"/>
    </row>
    <row r="177" spans="1:35" ht="21" customHeight="1" outlineLevel="1" collapsed="1" x14ac:dyDescent="0.35">
      <c r="A177" s="979"/>
      <c r="B177" s="980"/>
      <c r="C177" s="988"/>
      <c r="D177" s="15" t="s">
        <v>941</v>
      </c>
      <c r="E177" s="15"/>
      <c r="F177" s="15"/>
      <c r="G177" s="15"/>
      <c r="H177" s="15"/>
      <c r="I177" s="15"/>
      <c r="J177" s="15"/>
      <c r="K177" s="15"/>
      <c r="L177" s="15"/>
      <c r="M177" s="15"/>
      <c r="N177" s="15"/>
      <c r="O177" s="15"/>
      <c r="P177" s="15"/>
      <c r="Q177" s="15"/>
      <c r="R177" s="15"/>
      <c r="S177" s="15"/>
      <c r="T177" s="15"/>
      <c r="U177" s="130"/>
      <c r="V177" s="226">
        <v>411</v>
      </c>
      <c r="W177" s="225" t="s">
        <v>773</v>
      </c>
      <c r="X177" s="944">
        <f>SUM(X178:AA203)</f>
        <v>0</v>
      </c>
      <c r="Y177" s="945"/>
      <c r="Z177" s="945"/>
      <c r="AA177" s="945"/>
      <c r="AB177" s="224"/>
      <c r="AC177" s="54">
        <v>461</v>
      </c>
      <c r="AD177" s="227" t="s">
        <v>773</v>
      </c>
      <c r="AE177" s="944">
        <f>SUM(AE178:AH203)</f>
        <v>0</v>
      </c>
      <c r="AF177" s="945"/>
      <c r="AG177" s="945"/>
      <c r="AH177" s="945"/>
      <c r="AI177" s="206"/>
    </row>
    <row r="178" spans="1:35" ht="21" hidden="1" customHeight="1" outlineLevel="2" x14ac:dyDescent="0.35">
      <c r="A178" s="979"/>
      <c r="B178" s="980"/>
      <c r="C178" s="988"/>
      <c r="D178" s="15"/>
      <c r="E178" s="15"/>
      <c r="F178" s="15"/>
      <c r="G178" s="15"/>
      <c r="H178" s="15"/>
      <c r="I178" s="15"/>
      <c r="J178" s="15"/>
      <c r="K178" s="15"/>
      <c r="L178" s="15"/>
      <c r="M178" s="15"/>
      <c r="N178" s="15"/>
      <c r="O178" s="15"/>
      <c r="P178" s="15"/>
      <c r="Q178" s="15"/>
      <c r="R178" s="15"/>
      <c r="S178" s="15"/>
      <c r="T178" s="15"/>
      <c r="U178" s="229" t="s">
        <v>176</v>
      </c>
      <c r="V178" s="272">
        <v>500</v>
      </c>
      <c r="W178" s="225"/>
      <c r="X178" s="944">
        <f>SUMIFS(COMPRAS!BG:BG,COMPRAS!BF:BF,V178,COMPRAS!CS:CS,"=01-REGIMEN GENERAL",COMPRAS!CX:CX,"=SI",COMPRAS!DD:DD,"=SI")+SUMIFS(COMPRAS!BP:BP,COMPRAS!BO:BO,V178,COMPRAS!CS:CS,"=01-REGIMEN GENERAL",COMPRAS!CX:CX,"=SI",COMPRAS!DD:DD,"=SI")+SUMIFS(COMPRAS!BY:BY,COMPRAS!BX:BX,V178,COMPRAS!CS:CS,"=01-REGIMEN GENERAL",COMPRAS!CX:CX,"=SI",COMPRAS!DD:DD,"=SI")</f>
        <v>0</v>
      </c>
      <c r="Y178" s="945"/>
      <c r="Z178" s="945"/>
      <c r="AA178" s="945"/>
      <c r="AB178" s="224"/>
      <c r="AC178" s="52"/>
      <c r="AD178" s="227"/>
      <c r="AE178" s="944">
        <f>SUMIFS(COMPRAS!BI:BI,COMPRAS!BF:BF,V178,COMPRAS!CS:CS,"=01-REGIMEN GENERAL",COMPRAS!CX:CX,"=SI",COMPRAS!DD:DD,"=SI")+SUMIFS(COMPRAS!BR:BR,COMPRAS!BO:BO,V178,COMPRAS!CS:CS,"=01-REGIMEN GENERAL",COMPRAS!CX:CX,"=SI",COMPRAS!DD:DD,"=SI")+SUMIFS(COMPRAS!CA:CA,COMPRAS!BX:BX,V178,COMPRAS!CS:CS,"=01-REGIMEN GENERAL",COMPRAS!CX:CX,"=SI",COMPRAS!DD:DD,"=SI")</f>
        <v>0</v>
      </c>
      <c r="AF178" s="945"/>
      <c r="AG178" s="945"/>
      <c r="AH178" s="945"/>
      <c r="AI178" s="206"/>
    </row>
    <row r="179" spans="1:35" ht="21" hidden="1" customHeight="1" outlineLevel="2" x14ac:dyDescent="0.35">
      <c r="A179" s="979"/>
      <c r="B179" s="980"/>
      <c r="C179" s="988"/>
      <c r="D179" s="15"/>
      <c r="E179" s="15"/>
      <c r="F179" s="15"/>
      <c r="G179" s="15"/>
      <c r="H179" s="15"/>
      <c r="I179" s="15"/>
      <c r="J179" s="15"/>
      <c r="K179" s="15"/>
      <c r="L179" s="15"/>
      <c r="M179" s="15"/>
      <c r="N179" s="15"/>
      <c r="O179" s="15"/>
      <c r="P179" s="15"/>
      <c r="Q179" s="15"/>
      <c r="R179" s="15"/>
      <c r="S179" s="15"/>
      <c r="T179" s="15"/>
      <c r="U179" s="229" t="s">
        <v>177</v>
      </c>
      <c r="V179" s="272">
        <v>501</v>
      </c>
      <c r="W179" s="225"/>
      <c r="X179" s="944">
        <f>SUMIFS(COMPRAS!BG:BG,COMPRAS!BF:BF,V179,COMPRAS!CS:CS,"=01-REGIMEN GENERAL",COMPRAS!CX:CX,"=SI",COMPRAS!DD:DD,"=SI")+SUMIFS(COMPRAS!BP:BP,COMPRAS!BO:BO,V179,COMPRAS!CS:CS,"=01-REGIMEN GENERAL",COMPRAS!CX:CX,"=SI",COMPRAS!DD:DD,"=SI")+SUMIFS(COMPRAS!BY:BY,COMPRAS!BX:BX,V179,COMPRAS!CS:CS,"=01-REGIMEN GENERAL",COMPRAS!CX:CX,"=SI",COMPRAS!DD:DD,"=SI")</f>
        <v>0</v>
      </c>
      <c r="Y179" s="945"/>
      <c r="Z179" s="945"/>
      <c r="AA179" s="945"/>
      <c r="AB179" s="224"/>
      <c r="AC179" s="52"/>
      <c r="AD179" s="227"/>
      <c r="AE179" s="944">
        <f>SUMIFS(COMPRAS!BI:BI,COMPRAS!BF:BF,V179,COMPRAS!CS:CS,"=01-REGIMEN GENERAL",COMPRAS!CX:CX,"=SI",COMPRAS!DD:DD,"=SI")+SUMIFS(COMPRAS!BR:BR,COMPRAS!BO:BO,V179,COMPRAS!CS:CS,"=01-REGIMEN GENERAL",COMPRAS!CX:CX,"=SI",COMPRAS!DD:DD,"=SI")+SUMIFS(COMPRAS!CA:CA,COMPRAS!BX:BX,V179,COMPRAS!CS:CS,"=01-REGIMEN GENERAL",COMPRAS!CX:CX,"=SI",COMPRAS!DD:DD,"=SI")</f>
        <v>0</v>
      </c>
      <c r="AF179" s="945"/>
      <c r="AG179" s="945"/>
      <c r="AH179" s="945"/>
      <c r="AI179" s="206"/>
    </row>
    <row r="180" spans="1:35" ht="21" hidden="1" customHeight="1" outlineLevel="2" x14ac:dyDescent="0.35">
      <c r="A180" s="979"/>
      <c r="B180" s="980"/>
      <c r="C180" s="988"/>
      <c r="D180" s="15"/>
      <c r="E180" s="15"/>
      <c r="F180" s="15"/>
      <c r="G180" s="15"/>
      <c r="H180" s="15"/>
      <c r="I180" s="15"/>
      <c r="J180" s="15"/>
      <c r="K180" s="15"/>
      <c r="L180" s="15"/>
      <c r="M180" s="15"/>
      <c r="N180" s="15"/>
      <c r="O180" s="15"/>
      <c r="P180" s="15"/>
      <c r="Q180" s="15"/>
      <c r="R180" s="15"/>
      <c r="S180" s="15"/>
      <c r="T180" s="15"/>
      <c r="U180" s="229" t="s">
        <v>178</v>
      </c>
      <c r="V180" s="272">
        <v>503</v>
      </c>
      <c r="W180" s="225"/>
      <c r="X180" s="944">
        <f>SUMIFS(COMPRAS!BG:BG,COMPRAS!BF:BF,V180,COMPRAS!CS:CS,"=01-REGIMEN GENERAL",COMPRAS!CX:CX,"=SI",COMPRAS!DD:DD,"=SI")+SUMIFS(COMPRAS!BP:BP,COMPRAS!BO:BO,V180,COMPRAS!CS:CS,"=01-REGIMEN GENERAL",COMPRAS!CX:CX,"=SI",COMPRAS!DD:DD,"=SI")+SUMIFS(COMPRAS!BY:BY,COMPRAS!BX:BX,V180,COMPRAS!CS:CS,"=01-REGIMEN GENERAL",COMPRAS!CX:CX,"=SI",COMPRAS!DD:DD,"=SI")</f>
        <v>0</v>
      </c>
      <c r="Y180" s="945"/>
      <c r="Z180" s="945"/>
      <c r="AA180" s="945"/>
      <c r="AB180" s="224"/>
      <c r="AC180" s="52"/>
      <c r="AD180" s="227"/>
      <c r="AE180" s="944">
        <f>SUMIFS(COMPRAS!BI:BI,COMPRAS!BF:BF,V180,COMPRAS!CS:CS,"=01-REGIMEN GENERAL",COMPRAS!CX:CX,"=SI",COMPRAS!DD:DD,"=SI")+SUMIFS(COMPRAS!BR:BR,COMPRAS!BO:BO,V180,COMPRAS!CS:CS,"=01-REGIMEN GENERAL",COMPRAS!CX:CX,"=SI",COMPRAS!DD:DD,"=SI")+SUMIFS(COMPRAS!CA:CA,COMPRAS!BX:BX,V180,COMPRAS!CS:CS,"=01-REGIMEN GENERAL",COMPRAS!CX:CX,"=SI",COMPRAS!DD:DD,"=SI")</f>
        <v>0</v>
      </c>
      <c r="AF180" s="945"/>
      <c r="AG180" s="945"/>
      <c r="AH180" s="945"/>
      <c r="AI180" s="206"/>
    </row>
    <row r="181" spans="1:35" ht="21" hidden="1" customHeight="1" outlineLevel="2" x14ac:dyDescent="0.35">
      <c r="A181" s="979"/>
      <c r="B181" s="980"/>
      <c r="C181" s="988"/>
      <c r="D181" s="15"/>
      <c r="E181" s="15"/>
      <c r="F181" s="15"/>
      <c r="G181" s="15"/>
      <c r="H181" s="15"/>
      <c r="I181" s="15"/>
      <c r="J181" s="15"/>
      <c r="K181" s="15"/>
      <c r="L181" s="15"/>
      <c r="M181" s="15"/>
      <c r="N181" s="15"/>
      <c r="O181" s="15"/>
      <c r="P181" s="15"/>
      <c r="Q181" s="15"/>
      <c r="R181" s="15"/>
      <c r="S181" s="15"/>
      <c r="T181" s="15"/>
      <c r="U181" s="229" t="s">
        <v>189</v>
      </c>
      <c r="V181" s="272">
        <v>505</v>
      </c>
      <c r="W181" s="225"/>
      <c r="X181" s="944">
        <f>SUMIFS(COMPRAS!BG:BG,COMPRAS!BF:BF,V181,COMPRAS!CS:CS,"=01-REGIMEN GENERAL",COMPRAS!CX:CX,"=SI",COMPRAS!DD:DD,"=SI")+SUMIFS(COMPRAS!BP:BP,COMPRAS!BO:BO,V181,COMPRAS!CS:CS,"=01-REGIMEN GENERAL",COMPRAS!CX:CX,"=SI",COMPRAS!DD:DD,"=SI")+SUMIFS(COMPRAS!BY:BY,COMPRAS!BX:BX,V181,COMPRAS!CS:CS,"=01-REGIMEN GENERAL",COMPRAS!CX:CX,"=SI",COMPRAS!DD:DD,"=SI")</f>
        <v>0</v>
      </c>
      <c r="Y181" s="945"/>
      <c r="Z181" s="945"/>
      <c r="AA181" s="945"/>
      <c r="AB181" s="224"/>
      <c r="AC181" s="52"/>
      <c r="AD181" s="227"/>
      <c r="AE181" s="944">
        <f>SUMIFS(COMPRAS!BI:BI,COMPRAS!BF:BF,V181,COMPRAS!CS:CS,"=01-REGIMEN GENERAL",COMPRAS!CX:CX,"=SI",COMPRAS!DD:DD,"=SI")+SUMIFS(COMPRAS!BR:BR,COMPRAS!BO:BO,V181,COMPRAS!CS:CS,"=01-REGIMEN GENERAL",COMPRAS!CX:CX,"=SI",COMPRAS!DD:DD,"=SI")+SUMIFS(COMPRAS!CA:CA,COMPRAS!BX:BX,V181,COMPRAS!CS:CS,"=01-REGIMEN GENERAL",COMPRAS!CX:CX,"=SI",COMPRAS!DD:DD,"=SI")</f>
        <v>0</v>
      </c>
      <c r="AF181" s="945"/>
      <c r="AG181" s="945"/>
      <c r="AH181" s="945"/>
      <c r="AI181" s="206"/>
    </row>
    <row r="182" spans="1:35" ht="21" hidden="1" customHeight="1" outlineLevel="2" x14ac:dyDescent="0.35">
      <c r="A182" s="979"/>
      <c r="B182" s="980"/>
      <c r="C182" s="988"/>
      <c r="D182" s="15"/>
      <c r="E182" s="15"/>
      <c r="F182" s="15"/>
      <c r="G182" s="15"/>
      <c r="H182" s="15"/>
      <c r="I182" s="15"/>
      <c r="J182" s="15"/>
      <c r="K182" s="15"/>
      <c r="L182" s="15"/>
      <c r="M182" s="15"/>
      <c r="N182" s="15"/>
      <c r="O182" s="15"/>
      <c r="P182" s="15"/>
      <c r="Q182" s="15"/>
      <c r="R182" s="15"/>
      <c r="S182" s="15"/>
      <c r="T182" s="15"/>
      <c r="U182" s="229" t="s">
        <v>202</v>
      </c>
      <c r="V182" s="272">
        <v>509</v>
      </c>
      <c r="W182" s="225"/>
      <c r="X182" s="944">
        <f>SUMIFS(COMPRAS!BG:BG,COMPRAS!BF:BF,V182,COMPRAS!CS:CS,"=01-REGIMEN GENERAL",COMPRAS!CX:CX,"=SI",COMPRAS!DD:DD,"=SI")+SUMIFS(COMPRAS!BP:BP,COMPRAS!BO:BO,V182,COMPRAS!CS:CS,"=01-REGIMEN GENERAL",COMPRAS!CX:CX,"=SI",COMPRAS!DD:DD,"=SI")+SUMIFS(COMPRAS!BY:BY,COMPRAS!BX:BX,V182,COMPRAS!CS:CS,"=01-REGIMEN GENERAL",COMPRAS!CX:CX,"=SI",COMPRAS!DD:DD,"=SI")</f>
        <v>0</v>
      </c>
      <c r="Y182" s="945"/>
      <c r="Z182" s="945"/>
      <c r="AA182" s="945"/>
      <c r="AB182" s="224"/>
      <c r="AC182" s="52"/>
      <c r="AD182" s="227"/>
      <c r="AE182" s="944">
        <f>SUMIFS(COMPRAS!BI:BI,COMPRAS!BF:BF,V182,COMPRAS!CS:CS,"=01-REGIMEN GENERAL",COMPRAS!CX:CX,"=SI",COMPRAS!DD:DD,"=SI")+SUMIFS(COMPRAS!BR:BR,COMPRAS!BO:BO,V182,COMPRAS!CS:CS,"=01-REGIMEN GENERAL",COMPRAS!CX:CX,"=SI",COMPRAS!DD:DD,"=SI")+SUMIFS(COMPRAS!CA:CA,COMPRAS!BX:BX,V182,COMPRAS!CS:CS,"=01-REGIMEN GENERAL",COMPRAS!CX:CX,"=SI",COMPRAS!DD:DD,"=SI")</f>
        <v>0</v>
      </c>
      <c r="AF182" s="945"/>
      <c r="AG182" s="945"/>
      <c r="AH182" s="945"/>
      <c r="AI182" s="206"/>
    </row>
    <row r="183" spans="1:35" ht="21" hidden="1" customHeight="1" outlineLevel="2" x14ac:dyDescent="0.35">
      <c r="A183" s="979"/>
      <c r="B183" s="980"/>
      <c r="C183" s="988"/>
      <c r="D183" s="15"/>
      <c r="E183" s="15"/>
      <c r="F183" s="15"/>
      <c r="G183" s="15"/>
      <c r="H183" s="15"/>
      <c r="I183" s="15"/>
      <c r="J183" s="15"/>
      <c r="K183" s="15"/>
      <c r="L183" s="15"/>
      <c r="M183" s="15"/>
      <c r="N183" s="15"/>
      <c r="O183" s="15"/>
      <c r="P183" s="15"/>
      <c r="Q183" s="15"/>
      <c r="R183" s="15"/>
      <c r="S183" s="15"/>
      <c r="T183" s="15"/>
      <c r="U183" s="229" t="s">
        <v>205</v>
      </c>
      <c r="V183" s="272">
        <v>510</v>
      </c>
      <c r="W183" s="225"/>
      <c r="X183" s="944">
        <f>SUMIFS(COMPRAS!BG:BG,COMPRAS!BF:BF,V183,COMPRAS!CS:CS,"=01-REGIMEN GENERAL",COMPRAS!CX:CX,"=SI",COMPRAS!DD:DD,"=SI")+SUMIFS(COMPRAS!BP:BP,COMPRAS!BO:BO,V183,COMPRAS!CS:CS,"=01-REGIMEN GENERAL",COMPRAS!CX:CX,"=SI",COMPRAS!DD:DD,"=SI")+SUMIFS(COMPRAS!BY:BY,COMPRAS!BX:BX,V183,COMPRAS!CS:CS,"=01-REGIMEN GENERAL",COMPRAS!CX:CX,"=SI",COMPRAS!DD:DD,"=SI")</f>
        <v>0</v>
      </c>
      <c r="Y183" s="945"/>
      <c r="Z183" s="945"/>
      <c r="AA183" s="945"/>
      <c r="AB183" s="224"/>
      <c r="AC183" s="52"/>
      <c r="AD183" s="227"/>
      <c r="AE183" s="944">
        <f>SUMIFS(COMPRAS!BI:BI,COMPRAS!BF:BF,V183,COMPRAS!CS:CS,"=01-REGIMEN GENERAL",COMPRAS!CX:CX,"=SI",COMPRAS!DD:DD,"=SI")+SUMIFS(COMPRAS!BR:BR,COMPRAS!BO:BO,V183,COMPRAS!CS:CS,"=01-REGIMEN GENERAL",COMPRAS!CX:CX,"=SI",COMPRAS!DD:DD,"=SI")+SUMIFS(COMPRAS!CA:CA,COMPRAS!BX:BX,V183,COMPRAS!CS:CS,"=01-REGIMEN GENERAL",COMPRAS!CX:CX,"=SI",COMPRAS!DD:DD,"=SI")</f>
        <v>0</v>
      </c>
      <c r="AF183" s="945"/>
      <c r="AG183" s="945"/>
      <c r="AH183" s="945"/>
      <c r="AI183" s="206"/>
    </row>
    <row r="184" spans="1:35" ht="21" hidden="1" customHeight="1" outlineLevel="2" x14ac:dyDescent="0.35">
      <c r="A184" s="979"/>
      <c r="B184" s="980"/>
      <c r="C184" s="988"/>
      <c r="D184" s="15"/>
      <c r="E184" s="15"/>
      <c r="F184" s="15"/>
      <c r="G184" s="15"/>
      <c r="H184" s="15"/>
      <c r="I184" s="15"/>
      <c r="J184" s="15"/>
      <c r="K184" s="15"/>
      <c r="L184" s="15"/>
      <c r="M184" s="15"/>
      <c r="N184" s="15"/>
      <c r="O184" s="15"/>
      <c r="P184" s="15"/>
      <c r="Q184" s="15"/>
      <c r="R184" s="15"/>
      <c r="S184" s="15"/>
      <c r="T184" s="15"/>
      <c r="U184" s="229" t="s">
        <v>206</v>
      </c>
      <c r="V184" s="272">
        <v>511</v>
      </c>
      <c r="W184" s="225"/>
      <c r="X184" s="944">
        <f>SUMIFS(COMPRAS!BG:BG,COMPRAS!BF:BF,V184,COMPRAS!CS:CS,"=01-REGIMEN GENERAL",COMPRAS!CX:CX,"=SI",COMPRAS!DD:DD,"=SI")+SUMIFS(COMPRAS!BP:BP,COMPRAS!BO:BO,V184,COMPRAS!CS:CS,"=01-REGIMEN GENERAL",COMPRAS!CX:CX,"=SI",COMPRAS!DD:DD,"=SI")+SUMIFS(COMPRAS!BY:BY,COMPRAS!BX:BX,V184,COMPRAS!CS:CS,"=01-REGIMEN GENERAL",COMPRAS!CX:CX,"=SI",COMPRAS!DD:DD,"=SI")</f>
        <v>0</v>
      </c>
      <c r="Y184" s="945"/>
      <c r="Z184" s="945"/>
      <c r="AA184" s="945"/>
      <c r="AB184" s="224"/>
      <c r="AC184" s="52"/>
      <c r="AD184" s="227"/>
      <c r="AE184" s="944">
        <f>SUMIFS(COMPRAS!BI:BI,COMPRAS!BF:BF,V184,COMPRAS!CS:CS,"=01-REGIMEN GENERAL",COMPRAS!CX:CX,"=SI",COMPRAS!DD:DD,"=SI")+SUMIFS(COMPRAS!BR:BR,COMPRAS!BO:BO,V184,COMPRAS!CS:CS,"=01-REGIMEN GENERAL",COMPRAS!CX:CX,"=SI",COMPRAS!DD:DD,"=SI")+SUMIFS(COMPRAS!CA:CA,COMPRAS!BX:BX,V184,COMPRAS!CS:CS,"=01-REGIMEN GENERAL",COMPRAS!CX:CX,"=SI",COMPRAS!DD:DD,"=SI")</f>
        <v>0</v>
      </c>
      <c r="AF184" s="945"/>
      <c r="AG184" s="945"/>
      <c r="AH184" s="945"/>
      <c r="AI184" s="206"/>
    </row>
    <row r="185" spans="1:35" ht="21" hidden="1" customHeight="1" outlineLevel="2" x14ac:dyDescent="0.35">
      <c r="A185" s="979"/>
      <c r="B185" s="980"/>
      <c r="C185" s="988"/>
      <c r="D185" s="15"/>
      <c r="E185" s="15"/>
      <c r="F185" s="15"/>
      <c r="G185" s="15"/>
      <c r="H185" s="15"/>
      <c r="I185" s="15"/>
      <c r="J185" s="15"/>
      <c r="K185" s="15"/>
      <c r="L185" s="15"/>
      <c r="M185" s="15"/>
      <c r="N185" s="15"/>
      <c r="O185" s="15"/>
      <c r="P185" s="15"/>
      <c r="Q185" s="15"/>
      <c r="R185" s="15"/>
      <c r="S185" s="15"/>
      <c r="T185" s="15"/>
      <c r="U185" s="229" t="s">
        <v>207</v>
      </c>
      <c r="V185" s="272">
        <v>512</v>
      </c>
      <c r="W185" s="225"/>
      <c r="X185" s="944">
        <f>SUMIFS(COMPRAS!BG:BG,COMPRAS!BF:BF,V185,COMPRAS!CS:CS,"=01-REGIMEN GENERAL",COMPRAS!CX:CX,"=SI",COMPRAS!DD:DD,"=SI")+SUMIFS(COMPRAS!BP:BP,COMPRAS!BO:BO,V185,COMPRAS!CS:CS,"=01-REGIMEN GENERAL",COMPRAS!CX:CX,"=SI",COMPRAS!DD:DD,"=SI")+SUMIFS(COMPRAS!BY:BY,COMPRAS!BX:BX,V185,COMPRAS!CS:CS,"=01-REGIMEN GENERAL",COMPRAS!CX:CX,"=SI",COMPRAS!DD:DD,"=SI")</f>
        <v>0</v>
      </c>
      <c r="Y185" s="945"/>
      <c r="Z185" s="945"/>
      <c r="AA185" s="945"/>
      <c r="AB185" s="224"/>
      <c r="AC185" s="52"/>
      <c r="AD185" s="227"/>
      <c r="AE185" s="944">
        <f>SUMIFS(COMPRAS!BI:BI,COMPRAS!BF:BF,V185,COMPRAS!CS:CS,"=01-REGIMEN GENERAL",COMPRAS!CX:CX,"=SI",COMPRAS!DD:DD,"=SI")+SUMIFS(COMPRAS!BR:BR,COMPRAS!BO:BO,V185,COMPRAS!CS:CS,"=01-REGIMEN GENERAL",COMPRAS!CX:CX,"=SI",COMPRAS!DD:DD,"=SI")+SUMIFS(COMPRAS!CA:CA,COMPRAS!BX:BX,V185,COMPRAS!CS:CS,"=01-REGIMEN GENERAL",COMPRAS!CX:CX,"=SI",COMPRAS!DD:DD,"=SI")</f>
        <v>0</v>
      </c>
      <c r="AF185" s="945"/>
      <c r="AG185" s="945"/>
      <c r="AH185" s="945"/>
      <c r="AI185" s="206"/>
    </row>
    <row r="186" spans="1:35" ht="21" hidden="1" customHeight="1" outlineLevel="2" x14ac:dyDescent="0.35">
      <c r="A186" s="979"/>
      <c r="B186" s="980"/>
      <c r="C186" s="988"/>
      <c r="D186" s="15"/>
      <c r="E186" s="15"/>
      <c r="F186" s="15"/>
      <c r="G186" s="15"/>
      <c r="H186" s="15"/>
      <c r="I186" s="15"/>
      <c r="J186" s="15"/>
      <c r="K186" s="15"/>
      <c r="L186" s="15"/>
      <c r="M186" s="15"/>
      <c r="N186" s="15"/>
      <c r="O186" s="15"/>
      <c r="P186" s="15"/>
      <c r="Q186" s="15"/>
      <c r="R186" s="15"/>
      <c r="S186" s="15"/>
      <c r="T186" s="15"/>
      <c r="U186" s="229" t="s">
        <v>208</v>
      </c>
      <c r="V186" s="272">
        <v>513</v>
      </c>
      <c r="W186" s="225"/>
      <c r="X186" s="944">
        <f>SUMIFS(COMPRAS!BG:BG,COMPRAS!BF:BF,V186,COMPRAS!CS:CS,"=01-REGIMEN GENERAL",COMPRAS!CX:CX,"=SI",COMPRAS!DD:DD,"=SI")+SUMIFS(COMPRAS!BP:BP,COMPRAS!BO:BO,V186,COMPRAS!CS:CS,"=01-REGIMEN GENERAL",COMPRAS!CX:CX,"=SI",COMPRAS!DD:DD,"=SI")+SUMIFS(COMPRAS!BY:BY,COMPRAS!BX:BX,V186,COMPRAS!CS:CS,"=01-REGIMEN GENERAL",COMPRAS!CX:CX,"=SI",COMPRAS!DD:DD,"=SI")</f>
        <v>0</v>
      </c>
      <c r="Y186" s="945"/>
      <c r="Z186" s="945"/>
      <c r="AA186" s="945"/>
      <c r="AB186" s="224"/>
      <c r="AC186" s="52"/>
      <c r="AD186" s="227"/>
      <c r="AE186" s="944">
        <f>SUMIFS(COMPRAS!BI:BI,COMPRAS!BF:BF,V186,COMPRAS!CS:CS,"=01-REGIMEN GENERAL",COMPRAS!CX:CX,"=SI",COMPRAS!DD:DD,"=SI")+SUMIFS(COMPRAS!BR:BR,COMPRAS!BO:BO,V186,COMPRAS!CS:CS,"=01-REGIMEN GENERAL",COMPRAS!CX:CX,"=SI",COMPRAS!DD:DD,"=SI")+SUMIFS(COMPRAS!CA:CA,COMPRAS!BX:BX,V186,COMPRAS!CS:CS,"=01-REGIMEN GENERAL",COMPRAS!CX:CX,"=SI",COMPRAS!DD:DD,"=SI")</f>
        <v>0</v>
      </c>
      <c r="AF186" s="945"/>
      <c r="AG186" s="945"/>
      <c r="AH186" s="945"/>
      <c r="AI186" s="206"/>
    </row>
    <row r="187" spans="1:35" ht="21" hidden="1" customHeight="1" outlineLevel="2" x14ac:dyDescent="0.35">
      <c r="A187" s="979"/>
      <c r="B187" s="980"/>
      <c r="C187" s="988"/>
      <c r="D187" s="15"/>
      <c r="E187" s="15"/>
      <c r="F187" s="15"/>
      <c r="G187" s="15"/>
      <c r="H187" s="15"/>
      <c r="I187" s="15"/>
      <c r="J187" s="15"/>
      <c r="K187" s="15"/>
      <c r="L187" s="15"/>
      <c r="M187" s="15"/>
      <c r="N187" s="15"/>
      <c r="O187" s="15"/>
      <c r="P187" s="15"/>
      <c r="Q187" s="15"/>
      <c r="R187" s="15"/>
      <c r="S187" s="15"/>
      <c r="T187" s="15"/>
      <c r="U187" s="229" t="s">
        <v>211</v>
      </c>
      <c r="V187" s="272">
        <v>514</v>
      </c>
      <c r="W187" s="225"/>
      <c r="X187" s="944">
        <f>SUMIFS(COMPRAS!BG:BG,COMPRAS!BF:BF,V187,COMPRAS!CS:CS,"=01-REGIMEN GENERAL",COMPRAS!CX:CX,"=SI",COMPRAS!DD:DD,"=SI")+SUMIFS(COMPRAS!BP:BP,COMPRAS!BO:BO,V187,COMPRAS!CS:CS,"=01-REGIMEN GENERAL",COMPRAS!CX:CX,"=SI",COMPRAS!DD:DD,"=SI")+SUMIFS(COMPRAS!BY:BY,COMPRAS!BX:BX,V187,COMPRAS!CS:CS,"=01-REGIMEN GENERAL",COMPRAS!CX:CX,"=SI",COMPRAS!DD:DD,"=SI")</f>
        <v>0</v>
      </c>
      <c r="Y187" s="945"/>
      <c r="Z187" s="945"/>
      <c r="AA187" s="945"/>
      <c r="AB187" s="224"/>
      <c r="AC187" s="52"/>
      <c r="AD187" s="227"/>
      <c r="AE187" s="944">
        <f>SUMIFS(COMPRAS!BI:BI,COMPRAS!BF:BF,V187,COMPRAS!CS:CS,"=01-REGIMEN GENERAL",COMPRAS!CX:CX,"=SI",COMPRAS!DD:DD,"=SI")+SUMIFS(COMPRAS!BR:BR,COMPRAS!BO:BO,V187,COMPRAS!CS:CS,"=01-REGIMEN GENERAL",COMPRAS!CX:CX,"=SI",COMPRAS!DD:DD,"=SI")+SUMIFS(COMPRAS!CA:CA,COMPRAS!BX:BX,V187,COMPRAS!CS:CS,"=01-REGIMEN GENERAL",COMPRAS!CX:CX,"=SI",COMPRAS!DD:DD,"=SI")</f>
        <v>0</v>
      </c>
      <c r="AF187" s="945"/>
      <c r="AG187" s="945"/>
      <c r="AH187" s="945"/>
      <c r="AI187" s="206"/>
    </row>
    <row r="188" spans="1:35" ht="21" hidden="1" customHeight="1" outlineLevel="2" x14ac:dyDescent="0.35">
      <c r="A188" s="979"/>
      <c r="B188" s="980"/>
      <c r="C188" s="988"/>
      <c r="D188" s="15"/>
      <c r="E188" s="15"/>
      <c r="F188" s="15"/>
      <c r="G188" s="15"/>
      <c r="H188" s="15"/>
      <c r="I188" s="15"/>
      <c r="J188" s="15"/>
      <c r="K188" s="15"/>
      <c r="L188" s="15"/>
      <c r="M188" s="15"/>
      <c r="N188" s="15"/>
      <c r="O188" s="15"/>
      <c r="P188" s="15"/>
      <c r="Q188" s="15"/>
      <c r="R188" s="15"/>
      <c r="S188" s="15"/>
      <c r="T188" s="15"/>
      <c r="U188" s="229" t="s">
        <v>212</v>
      </c>
      <c r="V188" s="272">
        <v>515</v>
      </c>
      <c r="W188" s="225"/>
      <c r="X188" s="944">
        <f>SUMIFS(COMPRAS!BG:BG,COMPRAS!BF:BF,V188,COMPRAS!CS:CS,"=01-REGIMEN GENERAL",COMPRAS!CX:CX,"=SI",COMPRAS!DD:DD,"=SI")+SUMIFS(COMPRAS!BP:BP,COMPRAS!BO:BO,V188,COMPRAS!CS:CS,"=01-REGIMEN GENERAL",COMPRAS!CX:CX,"=SI",COMPRAS!DD:DD,"=SI")+SUMIFS(COMPRAS!BY:BY,COMPRAS!BX:BX,V188,COMPRAS!CS:CS,"=01-REGIMEN GENERAL",COMPRAS!CX:CX,"=SI",COMPRAS!DD:DD,"=SI")</f>
        <v>0</v>
      </c>
      <c r="Y188" s="945"/>
      <c r="Z188" s="945"/>
      <c r="AA188" s="945"/>
      <c r="AB188" s="224"/>
      <c r="AC188" s="52"/>
      <c r="AD188" s="227"/>
      <c r="AE188" s="944">
        <f>SUMIFS(COMPRAS!BI:BI,COMPRAS!BF:BF,V188,COMPRAS!CS:CS,"=01-REGIMEN GENERAL",COMPRAS!CX:CX,"=SI",COMPRAS!DD:DD,"=SI")+SUMIFS(COMPRAS!BR:BR,COMPRAS!BO:BO,V188,COMPRAS!CS:CS,"=01-REGIMEN GENERAL",COMPRAS!CX:CX,"=SI",COMPRAS!DD:DD,"=SI")+SUMIFS(COMPRAS!CA:CA,COMPRAS!BX:BX,V188,COMPRAS!CS:CS,"=01-REGIMEN GENERAL",COMPRAS!CX:CX,"=SI",COMPRAS!DD:DD,"=SI")</f>
        <v>0</v>
      </c>
      <c r="AF188" s="945"/>
      <c r="AG188" s="945"/>
      <c r="AH188" s="945"/>
      <c r="AI188" s="206"/>
    </row>
    <row r="189" spans="1:35" ht="21" hidden="1" customHeight="1" outlineLevel="2" x14ac:dyDescent="0.35">
      <c r="A189" s="979"/>
      <c r="B189" s="980"/>
      <c r="C189" s="988"/>
      <c r="D189" s="15"/>
      <c r="E189" s="15"/>
      <c r="F189" s="15"/>
      <c r="G189" s="15"/>
      <c r="H189" s="15"/>
      <c r="I189" s="15"/>
      <c r="J189" s="15"/>
      <c r="K189" s="15"/>
      <c r="L189" s="15"/>
      <c r="M189" s="15"/>
      <c r="N189" s="15"/>
      <c r="O189" s="15"/>
      <c r="P189" s="15"/>
      <c r="Q189" s="15"/>
      <c r="R189" s="15"/>
      <c r="S189" s="15"/>
      <c r="T189" s="15"/>
      <c r="U189" s="229" t="s">
        <v>213</v>
      </c>
      <c r="V189" s="272">
        <v>516</v>
      </c>
      <c r="W189" s="225"/>
      <c r="X189" s="944">
        <f>SUMIFS(COMPRAS!BG:BG,COMPRAS!BF:BF,V189,COMPRAS!CS:CS,"=01-REGIMEN GENERAL",COMPRAS!CX:CX,"=SI",COMPRAS!DD:DD,"=SI")+SUMIFS(COMPRAS!BP:BP,COMPRAS!BO:BO,V189,COMPRAS!CS:CS,"=01-REGIMEN GENERAL",COMPRAS!CX:CX,"=SI",COMPRAS!DD:DD,"=SI")+SUMIFS(COMPRAS!BY:BY,COMPRAS!BX:BX,V189,COMPRAS!CS:CS,"=01-REGIMEN GENERAL",COMPRAS!CX:CX,"=SI",COMPRAS!DD:DD,"=SI")</f>
        <v>0</v>
      </c>
      <c r="Y189" s="945"/>
      <c r="Z189" s="945"/>
      <c r="AA189" s="945"/>
      <c r="AB189" s="224"/>
      <c r="AC189" s="52"/>
      <c r="AD189" s="227"/>
      <c r="AE189" s="944">
        <f>SUMIFS(COMPRAS!BI:BI,COMPRAS!BF:BF,V189,COMPRAS!CS:CS,"=01-REGIMEN GENERAL",COMPRAS!CX:CX,"=SI",COMPRAS!DD:DD,"=SI")+SUMIFS(COMPRAS!BR:BR,COMPRAS!BO:BO,V189,COMPRAS!CS:CS,"=01-REGIMEN GENERAL",COMPRAS!CX:CX,"=SI",COMPRAS!DD:DD,"=SI")+SUMIFS(COMPRAS!CA:CA,COMPRAS!BX:BX,V189,COMPRAS!CS:CS,"=01-REGIMEN GENERAL",COMPRAS!CX:CX,"=SI",COMPRAS!DD:DD,"=SI")</f>
        <v>0</v>
      </c>
      <c r="AF189" s="945"/>
      <c r="AG189" s="945"/>
      <c r="AH189" s="945"/>
      <c r="AI189" s="206"/>
    </row>
    <row r="190" spans="1:35" ht="21" hidden="1" customHeight="1" outlineLevel="2" x14ac:dyDescent="0.35">
      <c r="A190" s="979"/>
      <c r="B190" s="980"/>
      <c r="C190" s="988"/>
      <c r="D190" s="15"/>
      <c r="E190" s="15"/>
      <c r="F190" s="15"/>
      <c r="G190" s="15"/>
      <c r="H190" s="15"/>
      <c r="I190" s="15"/>
      <c r="J190" s="15"/>
      <c r="K190" s="15"/>
      <c r="L190" s="15"/>
      <c r="M190" s="15"/>
      <c r="N190" s="15"/>
      <c r="O190" s="15"/>
      <c r="P190" s="15"/>
      <c r="Q190" s="15"/>
      <c r="R190" s="15"/>
      <c r="S190" s="15"/>
      <c r="T190" s="15"/>
      <c r="U190" s="229" t="s">
        <v>214</v>
      </c>
      <c r="V190" s="272">
        <v>517</v>
      </c>
      <c r="W190" s="225"/>
      <c r="X190" s="944">
        <f>SUMIFS(COMPRAS!BG:BG,COMPRAS!BF:BF,V190,COMPRAS!CS:CS,"=01-REGIMEN GENERAL",COMPRAS!CX:CX,"=SI",COMPRAS!DD:DD,"=SI")+SUMIFS(COMPRAS!BP:BP,COMPRAS!BO:BO,V190,COMPRAS!CS:CS,"=01-REGIMEN GENERAL",COMPRAS!CX:CX,"=SI",COMPRAS!DD:DD,"=SI")+SUMIFS(COMPRAS!BY:BY,COMPRAS!BX:BX,V190,COMPRAS!CS:CS,"=01-REGIMEN GENERAL",COMPRAS!CX:CX,"=SI",COMPRAS!DD:DD,"=SI")</f>
        <v>0</v>
      </c>
      <c r="Y190" s="945"/>
      <c r="Z190" s="945"/>
      <c r="AA190" s="945"/>
      <c r="AB190" s="224"/>
      <c r="AC190" s="52"/>
      <c r="AD190" s="227"/>
      <c r="AE190" s="944">
        <f>SUMIFS(COMPRAS!BI:BI,COMPRAS!BF:BF,V190,COMPRAS!CS:CS,"=01-REGIMEN GENERAL",COMPRAS!CX:CX,"=SI",COMPRAS!DD:DD,"=SI")+SUMIFS(COMPRAS!BR:BR,COMPRAS!BO:BO,V190,COMPRAS!CS:CS,"=01-REGIMEN GENERAL",COMPRAS!CX:CX,"=SI",COMPRAS!DD:DD,"=SI")+SUMIFS(COMPRAS!CA:CA,COMPRAS!BX:BX,V190,COMPRAS!CS:CS,"=01-REGIMEN GENERAL",COMPRAS!CX:CX,"=SI",COMPRAS!DD:DD,"=SI")</f>
        <v>0</v>
      </c>
      <c r="AF190" s="945"/>
      <c r="AG190" s="945"/>
      <c r="AH190" s="945"/>
      <c r="AI190" s="206"/>
    </row>
    <row r="191" spans="1:35" ht="21" hidden="1" customHeight="1" outlineLevel="2" x14ac:dyDescent="0.35">
      <c r="A191" s="979"/>
      <c r="B191" s="980"/>
      <c r="C191" s="988"/>
      <c r="D191" s="15"/>
      <c r="E191" s="15"/>
      <c r="F191" s="15"/>
      <c r="G191" s="15"/>
      <c r="H191" s="15"/>
      <c r="I191" s="15"/>
      <c r="J191" s="15"/>
      <c r="K191" s="15"/>
      <c r="L191" s="15"/>
      <c r="M191" s="15"/>
      <c r="N191" s="15"/>
      <c r="O191" s="15"/>
      <c r="P191" s="15"/>
      <c r="Q191" s="15"/>
      <c r="R191" s="15"/>
      <c r="S191" s="15"/>
      <c r="T191" s="15"/>
      <c r="U191" s="229" t="s">
        <v>215</v>
      </c>
      <c r="V191" s="272">
        <v>518</v>
      </c>
      <c r="W191" s="225"/>
      <c r="X191" s="944">
        <f>SUMIFS(COMPRAS!BG:BG,COMPRAS!BF:BF,V191,COMPRAS!CS:CS,"=01-REGIMEN GENERAL",COMPRAS!CX:CX,"=SI",COMPRAS!DD:DD,"=SI")+SUMIFS(COMPRAS!BP:BP,COMPRAS!BO:BO,V191,COMPRAS!CS:CS,"=01-REGIMEN GENERAL",COMPRAS!CX:CX,"=SI",COMPRAS!DD:DD,"=SI")+SUMIFS(COMPRAS!BY:BY,COMPRAS!BX:BX,V191,COMPRAS!CS:CS,"=01-REGIMEN GENERAL",COMPRAS!CX:CX,"=SI",COMPRAS!DD:DD,"=SI")</f>
        <v>0</v>
      </c>
      <c r="Y191" s="945"/>
      <c r="Z191" s="945"/>
      <c r="AA191" s="945"/>
      <c r="AB191" s="224"/>
      <c r="AC191" s="52"/>
      <c r="AD191" s="227"/>
      <c r="AE191" s="944">
        <f>SUMIFS(COMPRAS!BI:BI,COMPRAS!BF:BF,V191,COMPRAS!CS:CS,"=01-REGIMEN GENERAL",COMPRAS!CX:CX,"=SI",COMPRAS!DD:DD,"=SI")+SUMIFS(COMPRAS!BR:BR,COMPRAS!BO:BO,V191,COMPRAS!CS:CS,"=01-REGIMEN GENERAL",COMPRAS!CX:CX,"=SI",COMPRAS!DD:DD,"=SI")+SUMIFS(COMPRAS!CA:CA,COMPRAS!BX:BX,V191,COMPRAS!CS:CS,"=01-REGIMEN GENERAL",COMPRAS!CX:CX,"=SI",COMPRAS!DD:DD,"=SI")</f>
        <v>0</v>
      </c>
      <c r="AF191" s="945"/>
      <c r="AG191" s="945"/>
      <c r="AH191" s="945"/>
      <c r="AI191" s="206"/>
    </row>
    <row r="192" spans="1:35" ht="21" hidden="1" customHeight="1" outlineLevel="2" x14ac:dyDescent="0.35">
      <c r="A192" s="979"/>
      <c r="B192" s="980"/>
      <c r="C192" s="988"/>
      <c r="D192" s="15"/>
      <c r="E192" s="15"/>
      <c r="F192" s="15"/>
      <c r="G192" s="15"/>
      <c r="H192" s="15"/>
      <c r="I192" s="15"/>
      <c r="J192" s="15"/>
      <c r="K192" s="15"/>
      <c r="L192" s="15"/>
      <c r="M192" s="15"/>
      <c r="N192" s="15"/>
      <c r="O192" s="15"/>
      <c r="P192" s="15"/>
      <c r="Q192" s="15"/>
      <c r="R192" s="15"/>
      <c r="S192" s="15"/>
      <c r="T192" s="15"/>
      <c r="U192" s="229" t="s">
        <v>216</v>
      </c>
      <c r="V192" s="272">
        <v>519</v>
      </c>
      <c r="W192" s="225"/>
      <c r="X192" s="944">
        <f>SUMIFS(COMPRAS!BG:BG,COMPRAS!BF:BF,V192,COMPRAS!CS:CS,"=01-REGIMEN GENERAL",COMPRAS!CX:CX,"=SI",COMPRAS!DD:DD,"=SI")+SUMIFS(COMPRAS!BP:BP,COMPRAS!BO:BO,V192,COMPRAS!CS:CS,"=01-REGIMEN GENERAL",COMPRAS!CX:CX,"=SI",COMPRAS!DD:DD,"=SI")+SUMIFS(COMPRAS!BY:BY,COMPRAS!BX:BX,V192,COMPRAS!CS:CS,"=01-REGIMEN GENERAL",COMPRAS!CX:CX,"=SI",COMPRAS!DD:DD,"=SI")</f>
        <v>0</v>
      </c>
      <c r="Y192" s="945"/>
      <c r="Z192" s="945"/>
      <c r="AA192" s="945"/>
      <c r="AB192" s="224"/>
      <c r="AC192" s="52"/>
      <c r="AD192" s="227"/>
      <c r="AE192" s="944">
        <f>SUMIFS(COMPRAS!BI:BI,COMPRAS!BF:BF,V192,COMPRAS!CS:CS,"=01-REGIMEN GENERAL",COMPRAS!CX:CX,"=SI",COMPRAS!DD:DD,"=SI")+SUMIFS(COMPRAS!BR:BR,COMPRAS!BO:BO,V192,COMPRAS!CS:CS,"=01-REGIMEN GENERAL",COMPRAS!CX:CX,"=SI",COMPRAS!DD:DD,"=SI")+SUMIFS(COMPRAS!CA:CA,COMPRAS!BX:BX,V192,COMPRAS!CS:CS,"=01-REGIMEN GENERAL",COMPRAS!CX:CX,"=SI",COMPRAS!DD:DD,"=SI")</f>
        <v>0</v>
      </c>
      <c r="AF192" s="945"/>
      <c r="AG192" s="945"/>
      <c r="AH192" s="945"/>
      <c r="AI192" s="206"/>
    </row>
    <row r="193" spans="1:35" ht="21" hidden="1" customHeight="1" outlineLevel="2" x14ac:dyDescent="0.35">
      <c r="A193" s="979"/>
      <c r="B193" s="980"/>
      <c r="C193" s="988"/>
      <c r="D193" s="15"/>
      <c r="E193" s="15"/>
      <c r="F193" s="15"/>
      <c r="G193" s="15"/>
      <c r="H193" s="15"/>
      <c r="I193" s="15"/>
      <c r="J193" s="15"/>
      <c r="K193" s="15"/>
      <c r="L193" s="15"/>
      <c r="M193" s="15"/>
      <c r="N193" s="15"/>
      <c r="O193" s="15"/>
      <c r="P193" s="15"/>
      <c r="Q193" s="15"/>
      <c r="R193" s="15"/>
      <c r="S193" s="15"/>
      <c r="T193" s="15"/>
      <c r="U193" s="229" t="s">
        <v>1073</v>
      </c>
      <c r="V193" s="272">
        <v>525</v>
      </c>
      <c r="W193" s="225"/>
      <c r="X193" s="944">
        <f>SUMIFS(COMPRAS!BG:BG,COMPRAS!BF:BF,V193,COMPRAS!CS:CS,"=01-REGIMEN GENERAL",COMPRAS!CX:CX,"=SI",COMPRAS!DD:DD,"=SI")+SUMIFS(COMPRAS!BP:BP,COMPRAS!BO:BO,V193,COMPRAS!CS:CS,"=01-REGIMEN GENERAL",COMPRAS!CX:CX,"=SI",COMPRAS!DD:DD,"=SI")+SUMIFS(COMPRAS!BY:BY,COMPRAS!BX:BX,V193,COMPRAS!CS:CS,"=01-REGIMEN GENERAL",COMPRAS!CX:CX,"=SI",COMPRAS!DD:DD,"=SI")</f>
        <v>0</v>
      </c>
      <c r="Y193" s="945"/>
      <c r="Z193" s="945"/>
      <c r="AA193" s="945"/>
      <c r="AB193" s="224"/>
      <c r="AC193" s="52"/>
      <c r="AD193" s="227"/>
      <c r="AE193" s="944">
        <f>SUMIFS(COMPRAS!BI:BI,COMPRAS!BF:BF,V193,COMPRAS!CS:CS,"=01-REGIMEN GENERAL",COMPRAS!CX:CX,"=SI",COMPRAS!DD:DD,"=SI")+SUMIFS(COMPRAS!BR:BR,COMPRAS!BO:BO,V193,COMPRAS!CS:CS,"=01-REGIMEN GENERAL",COMPRAS!CX:CX,"=SI",COMPRAS!DD:DD,"=SI")+SUMIFS(COMPRAS!CA:CA,COMPRAS!BX:BX,V193,COMPRAS!CS:CS,"=01-REGIMEN GENERAL",COMPRAS!CX:CX,"=SI",COMPRAS!DD:DD,"=SI")</f>
        <v>0</v>
      </c>
      <c r="AF193" s="945"/>
      <c r="AG193" s="945"/>
      <c r="AH193" s="945"/>
      <c r="AI193" s="206"/>
    </row>
    <row r="194" spans="1:35" ht="21" hidden="1" customHeight="1" outlineLevel="2" x14ac:dyDescent="0.35">
      <c r="A194" s="979"/>
      <c r="B194" s="980"/>
      <c r="C194" s="988"/>
      <c r="D194" s="15"/>
      <c r="E194" s="15"/>
      <c r="F194" s="15"/>
      <c r="G194" s="15"/>
      <c r="H194" s="15"/>
      <c r="I194" s="15"/>
      <c r="J194" s="15"/>
      <c r="K194" s="15"/>
      <c r="L194" s="15"/>
      <c r="M194" s="15"/>
      <c r="N194" s="15"/>
      <c r="O194" s="15"/>
      <c r="P194" s="15"/>
      <c r="Q194" s="15"/>
      <c r="R194" s="15"/>
      <c r="S194" s="15"/>
      <c r="T194" s="15"/>
      <c r="U194" s="229" t="s">
        <v>199</v>
      </c>
      <c r="V194" s="272" t="s">
        <v>198</v>
      </c>
      <c r="W194" s="225"/>
      <c r="X194" s="944">
        <f>SUMIFS(COMPRAS!BG:BG,COMPRAS!BF:BF,V194,COMPRAS!CS:CS,"=01-REGIMEN GENERAL",COMPRAS!CX:CX,"=SI",COMPRAS!DD:DD,"=SI")+SUMIFS(COMPRAS!BP:BP,COMPRAS!BO:BO,V194,COMPRAS!CS:CS,"=01-REGIMEN GENERAL",COMPRAS!CX:CX,"=SI",COMPRAS!DD:DD,"=SI")+SUMIFS(COMPRAS!BY:BY,COMPRAS!BX:BX,V194,COMPRAS!CS:CS,"=01-REGIMEN GENERAL",COMPRAS!CX:CX,"=SI",COMPRAS!DD:DD,"=SI")</f>
        <v>0</v>
      </c>
      <c r="Y194" s="945"/>
      <c r="Z194" s="945"/>
      <c r="AA194" s="945"/>
      <c r="AB194" s="224"/>
      <c r="AC194" s="52"/>
      <c r="AD194" s="227"/>
      <c r="AE194" s="944">
        <f>SUMIFS(COMPRAS!BI:BI,COMPRAS!BF:BF,V194,COMPRAS!CS:CS,"=01-REGIMEN GENERAL",COMPRAS!CX:CX,"=SI",COMPRAS!DD:DD,"=SI")+SUMIFS(COMPRAS!BR:BR,COMPRAS!BO:BO,V194,COMPRAS!CS:CS,"=01-REGIMEN GENERAL",COMPRAS!CX:CX,"=SI",COMPRAS!DD:DD,"=SI")+SUMIFS(COMPRAS!CA:CA,COMPRAS!BX:BX,V194,COMPRAS!CS:CS,"=01-REGIMEN GENERAL",COMPRAS!CX:CX,"=SI",COMPRAS!DD:DD,"=SI")</f>
        <v>0</v>
      </c>
      <c r="AF194" s="945"/>
      <c r="AG194" s="945"/>
      <c r="AH194" s="945"/>
      <c r="AI194" s="206"/>
    </row>
    <row r="195" spans="1:35" ht="21" hidden="1" customHeight="1" outlineLevel="2" x14ac:dyDescent="0.35">
      <c r="A195" s="979"/>
      <c r="B195" s="980"/>
      <c r="C195" s="988"/>
      <c r="D195" s="15"/>
      <c r="E195" s="15"/>
      <c r="F195" s="15"/>
      <c r="G195" s="15"/>
      <c r="H195" s="15"/>
      <c r="I195" s="15"/>
      <c r="J195" s="15"/>
      <c r="K195" s="15"/>
      <c r="L195" s="15"/>
      <c r="M195" s="15"/>
      <c r="N195" s="15"/>
      <c r="O195" s="15"/>
      <c r="P195" s="15"/>
      <c r="Q195" s="15"/>
      <c r="R195" s="15"/>
      <c r="S195" s="15"/>
      <c r="T195" s="15"/>
      <c r="U195" s="229" t="s">
        <v>201</v>
      </c>
      <c r="V195" s="272" t="s">
        <v>200</v>
      </c>
      <c r="W195" s="225"/>
      <c r="X195" s="944">
        <f>SUMIFS(COMPRAS!BG:BG,COMPRAS!BF:BF,V195,COMPRAS!CS:CS,"=01-REGIMEN GENERAL",COMPRAS!CX:CX,"=SI",COMPRAS!DD:DD,"=SI")+SUMIFS(COMPRAS!BP:BP,COMPRAS!BO:BO,V195,COMPRAS!CS:CS,"=01-REGIMEN GENERAL",COMPRAS!CX:CX,"=SI",COMPRAS!DD:DD,"=SI")+SUMIFS(COMPRAS!BY:BY,COMPRAS!BX:BX,V195,COMPRAS!CS:CS,"=01-REGIMEN GENERAL",COMPRAS!CX:CX,"=SI",COMPRAS!DD:DD,"=SI")</f>
        <v>0</v>
      </c>
      <c r="Y195" s="945"/>
      <c r="Z195" s="945"/>
      <c r="AA195" s="945"/>
      <c r="AB195" s="224"/>
      <c r="AC195" s="52"/>
      <c r="AD195" s="227"/>
      <c r="AE195" s="944">
        <f>SUMIFS(COMPRAS!BI:BI,COMPRAS!BF:BF,V195,COMPRAS!CS:CS,"=01-REGIMEN GENERAL",COMPRAS!CX:CX,"=SI",COMPRAS!DD:DD,"=SI")+SUMIFS(COMPRAS!BR:BR,COMPRAS!BO:BO,V195,COMPRAS!CS:CS,"=01-REGIMEN GENERAL",COMPRAS!CX:CX,"=SI",COMPRAS!DD:DD,"=SI")+SUMIFS(COMPRAS!CA:CA,COMPRAS!BX:BX,V195,COMPRAS!CS:CS,"=01-REGIMEN GENERAL",COMPRAS!CX:CX,"=SI",COMPRAS!DD:DD,"=SI")</f>
        <v>0</v>
      </c>
      <c r="AF195" s="945"/>
      <c r="AG195" s="945"/>
      <c r="AH195" s="945"/>
      <c r="AI195" s="206"/>
    </row>
    <row r="196" spans="1:35" ht="21" hidden="1" customHeight="1" outlineLevel="2" x14ac:dyDescent="0.35">
      <c r="A196" s="979"/>
      <c r="B196" s="980"/>
      <c r="C196" s="988"/>
      <c r="D196" s="15"/>
      <c r="E196" s="15"/>
      <c r="F196" s="15"/>
      <c r="G196" s="15"/>
      <c r="H196" s="15"/>
      <c r="I196" s="15"/>
      <c r="J196" s="15"/>
      <c r="K196" s="15"/>
      <c r="L196" s="15"/>
      <c r="M196" s="15"/>
      <c r="N196" s="15"/>
      <c r="O196" s="15"/>
      <c r="P196" s="15"/>
      <c r="Q196" s="15"/>
      <c r="R196" s="15"/>
      <c r="S196" s="15"/>
      <c r="T196" s="15"/>
      <c r="U196" s="229" t="s">
        <v>204</v>
      </c>
      <c r="V196" s="272" t="s">
        <v>203</v>
      </c>
      <c r="W196" s="225"/>
      <c r="X196" s="944">
        <f>SUMIFS(COMPRAS!BG:BG,COMPRAS!BF:BF,V196,COMPRAS!CS:CS,"=01-REGIMEN GENERAL",COMPRAS!CX:CX,"=SI",COMPRAS!DD:DD,"=SI")+SUMIFS(COMPRAS!BP:BP,COMPRAS!BO:BO,V196,COMPRAS!CS:CS,"=01-REGIMEN GENERAL",COMPRAS!CX:CX,"=SI",COMPRAS!DD:DD,"=SI")+SUMIFS(COMPRAS!BY:BY,COMPRAS!BX:BX,V196,COMPRAS!CS:CS,"=01-REGIMEN GENERAL",COMPRAS!CX:CX,"=SI",COMPRAS!DD:DD,"=SI")</f>
        <v>0</v>
      </c>
      <c r="Y196" s="945"/>
      <c r="Z196" s="945"/>
      <c r="AA196" s="945"/>
      <c r="AB196" s="224"/>
      <c r="AC196" s="52"/>
      <c r="AD196" s="227"/>
      <c r="AE196" s="944">
        <f>SUMIFS(COMPRAS!BI:BI,COMPRAS!BF:BF,V196,COMPRAS!CS:CS,"=01-REGIMEN GENERAL",COMPRAS!CX:CX,"=SI",COMPRAS!DD:DD,"=SI")+SUMIFS(COMPRAS!BR:BR,COMPRAS!BO:BO,V196,COMPRAS!CS:CS,"=01-REGIMEN GENERAL",COMPRAS!CX:CX,"=SI",COMPRAS!DD:DD,"=SI")+SUMIFS(COMPRAS!CA:CA,COMPRAS!BX:BX,V196,COMPRAS!CS:CS,"=01-REGIMEN GENERAL",COMPRAS!CX:CX,"=SI",COMPRAS!DD:DD,"=SI")</f>
        <v>0</v>
      </c>
      <c r="AF196" s="945"/>
      <c r="AG196" s="945"/>
      <c r="AH196" s="945"/>
      <c r="AI196" s="206"/>
    </row>
    <row r="197" spans="1:35" ht="21" hidden="1" customHeight="1" outlineLevel="2" x14ac:dyDescent="0.35">
      <c r="A197" s="979"/>
      <c r="B197" s="980"/>
      <c r="C197" s="988"/>
      <c r="D197" s="15"/>
      <c r="E197" s="15"/>
      <c r="F197" s="15"/>
      <c r="G197" s="15"/>
      <c r="H197" s="15"/>
      <c r="I197" s="15"/>
      <c r="J197" s="15"/>
      <c r="K197" s="15"/>
      <c r="L197" s="15"/>
      <c r="M197" s="15"/>
      <c r="N197" s="15"/>
      <c r="O197" s="15"/>
      <c r="P197" s="15"/>
      <c r="Q197" s="15"/>
      <c r="R197" s="15"/>
      <c r="S197" s="15"/>
      <c r="T197" s="15"/>
      <c r="U197" s="229" t="s">
        <v>210</v>
      </c>
      <c r="V197" s="272" t="s">
        <v>209</v>
      </c>
      <c r="W197" s="225"/>
      <c r="X197" s="944">
        <f>SUMIFS(COMPRAS!BG:BG,COMPRAS!BF:BF,V197,COMPRAS!CS:CS,"=01-REGIMEN GENERAL",COMPRAS!CX:CX,"=SI",COMPRAS!DD:DD,"=SI")+SUMIFS(COMPRAS!BP:BP,COMPRAS!BO:BO,V197,COMPRAS!CS:CS,"=01-REGIMEN GENERAL",COMPRAS!CX:CX,"=SI",COMPRAS!DD:DD,"=SI")+SUMIFS(COMPRAS!BY:BY,COMPRAS!BX:BX,V197,COMPRAS!CS:CS,"=01-REGIMEN GENERAL",COMPRAS!CX:CX,"=SI",COMPRAS!DD:DD,"=SI")</f>
        <v>0</v>
      </c>
      <c r="Y197" s="945"/>
      <c r="Z197" s="945"/>
      <c r="AA197" s="945"/>
      <c r="AB197" s="224"/>
      <c r="AC197" s="52"/>
      <c r="AD197" s="227"/>
      <c r="AE197" s="944">
        <f>SUMIFS(COMPRAS!BI:BI,COMPRAS!BF:BF,V197,COMPRAS!CS:CS,"=01-REGIMEN GENERAL",COMPRAS!CX:CX,"=SI",COMPRAS!DD:DD,"=SI")+SUMIFS(COMPRAS!BR:BR,COMPRAS!BO:BO,V197,COMPRAS!CS:CS,"=01-REGIMEN GENERAL",COMPRAS!CX:CX,"=SI",COMPRAS!DD:DD,"=SI")+SUMIFS(COMPRAS!CA:CA,COMPRAS!BX:BX,V197,COMPRAS!CS:CS,"=01-REGIMEN GENERAL",COMPRAS!CX:CX,"=SI",COMPRAS!DD:DD,"=SI")</f>
        <v>0</v>
      </c>
      <c r="AF197" s="945"/>
      <c r="AG197" s="945"/>
      <c r="AH197" s="945"/>
      <c r="AI197" s="206"/>
    </row>
    <row r="198" spans="1:35" ht="21" hidden="1" customHeight="1" outlineLevel="2" x14ac:dyDescent="0.35">
      <c r="A198" s="979"/>
      <c r="B198" s="980"/>
      <c r="C198" s="988"/>
      <c r="D198" s="15"/>
      <c r="E198" s="15"/>
      <c r="F198" s="15"/>
      <c r="G198" s="15"/>
      <c r="H198" s="15"/>
      <c r="I198" s="15"/>
      <c r="J198" s="15"/>
      <c r="K198" s="15"/>
      <c r="L198" s="15"/>
      <c r="M198" s="15"/>
      <c r="N198" s="15"/>
      <c r="O198" s="15"/>
      <c r="P198" s="15"/>
      <c r="Q198" s="15"/>
      <c r="R198" s="15"/>
      <c r="S198" s="15"/>
      <c r="T198" s="15"/>
      <c r="U198" s="229" t="s">
        <v>218</v>
      </c>
      <c r="V198" s="272" t="s">
        <v>217</v>
      </c>
      <c r="W198" s="225"/>
      <c r="X198" s="944">
        <f>SUMIFS(COMPRAS!BG:BG,COMPRAS!BF:BF,V198,COMPRAS!CS:CS,"=01-REGIMEN GENERAL",COMPRAS!CX:CX,"=SI",COMPRAS!DD:DD,"=SI")+SUMIFS(COMPRAS!BP:BP,COMPRAS!BO:BO,V198,COMPRAS!CS:CS,"=01-REGIMEN GENERAL",COMPRAS!CX:CX,"=SI",COMPRAS!DD:DD,"=SI")+SUMIFS(COMPRAS!BY:BY,COMPRAS!BX:BX,V198,COMPRAS!CS:CS,"=01-REGIMEN GENERAL",COMPRAS!CX:CX,"=SI",COMPRAS!DD:DD,"=SI")</f>
        <v>0</v>
      </c>
      <c r="Y198" s="945"/>
      <c r="Z198" s="945"/>
      <c r="AA198" s="945"/>
      <c r="AB198" s="224"/>
      <c r="AC198" s="52"/>
      <c r="AD198" s="227"/>
      <c r="AE198" s="944">
        <f>SUMIFS(COMPRAS!BI:BI,COMPRAS!BF:BF,V198,COMPRAS!CS:CS,"=01-REGIMEN GENERAL",COMPRAS!CX:CX,"=SI",COMPRAS!DD:DD,"=SI")+SUMIFS(COMPRAS!BR:BR,COMPRAS!BO:BO,V198,COMPRAS!CS:CS,"=01-REGIMEN GENERAL",COMPRAS!CX:CX,"=SI",COMPRAS!DD:DD,"=SI")+SUMIFS(COMPRAS!CA:CA,COMPRAS!BX:BX,V198,COMPRAS!CS:CS,"=01-REGIMEN GENERAL",COMPRAS!CX:CX,"=SI",COMPRAS!DD:DD,"=SI")</f>
        <v>0</v>
      </c>
      <c r="AF198" s="945"/>
      <c r="AG198" s="945"/>
      <c r="AH198" s="945"/>
      <c r="AI198" s="206"/>
    </row>
    <row r="199" spans="1:35" ht="21" hidden="1" customHeight="1" outlineLevel="2" x14ac:dyDescent="0.35">
      <c r="A199" s="979"/>
      <c r="B199" s="980"/>
      <c r="C199" s="988"/>
      <c r="D199" s="15"/>
      <c r="E199" s="15"/>
      <c r="F199" s="15"/>
      <c r="G199" s="15"/>
      <c r="H199" s="15"/>
      <c r="I199" s="15"/>
      <c r="J199" s="15"/>
      <c r="K199" s="15"/>
      <c r="L199" s="15"/>
      <c r="M199" s="15"/>
      <c r="N199" s="15"/>
      <c r="O199" s="15"/>
      <c r="P199" s="15"/>
      <c r="Q199" s="15"/>
      <c r="R199" s="15"/>
      <c r="S199" s="15"/>
      <c r="T199" s="15"/>
      <c r="U199" s="229" t="s">
        <v>220</v>
      </c>
      <c r="V199" s="272" t="s">
        <v>219</v>
      </c>
      <c r="W199" s="225"/>
      <c r="X199" s="944">
        <f>SUMIFS(COMPRAS!BG:BG,COMPRAS!BF:BF,V199,COMPRAS!CS:CS,"=01-REGIMEN GENERAL",COMPRAS!CX:CX,"=SI",COMPRAS!DD:DD,"=SI")+SUMIFS(COMPRAS!BP:BP,COMPRAS!BO:BO,V199,COMPRAS!CS:CS,"=01-REGIMEN GENERAL",COMPRAS!CX:CX,"=SI",COMPRAS!DD:DD,"=SI")+SUMIFS(COMPRAS!BY:BY,COMPRAS!BX:BX,V199,COMPRAS!CS:CS,"=01-REGIMEN GENERAL",COMPRAS!CX:CX,"=SI",COMPRAS!DD:DD,"=SI")</f>
        <v>0</v>
      </c>
      <c r="Y199" s="945"/>
      <c r="Z199" s="945"/>
      <c r="AA199" s="945"/>
      <c r="AB199" s="224"/>
      <c r="AC199" s="52"/>
      <c r="AD199" s="227"/>
      <c r="AE199" s="944">
        <f>SUMIFS(COMPRAS!BI:BI,COMPRAS!BF:BF,V199,COMPRAS!CS:CS,"=01-REGIMEN GENERAL",COMPRAS!CX:CX,"=SI",COMPRAS!DD:DD,"=SI")+SUMIFS(COMPRAS!BR:BR,COMPRAS!BO:BO,V199,COMPRAS!CS:CS,"=01-REGIMEN GENERAL",COMPRAS!CX:CX,"=SI",COMPRAS!DD:DD,"=SI")+SUMIFS(COMPRAS!CA:CA,COMPRAS!BX:BX,V199,COMPRAS!CS:CS,"=01-REGIMEN GENERAL",COMPRAS!CX:CX,"=SI",COMPRAS!DD:DD,"=SI")</f>
        <v>0</v>
      </c>
      <c r="AF199" s="945"/>
      <c r="AG199" s="945"/>
      <c r="AH199" s="945"/>
      <c r="AI199" s="206"/>
    </row>
    <row r="200" spans="1:35" ht="21" hidden="1" customHeight="1" outlineLevel="2" x14ac:dyDescent="0.35">
      <c r="A200" s="979"/>
      <c r="B200" s="980"/>
      <c r="C200" s="988"/>
      <c r="D200" s="15"/>
      <c r="E200" s="15"/>
      <c r="F200" s="15"/>
      <c r="G200" s="15"/>
      <c r="H200" s="15"/>
      <c r="I200" s="15"/>
      <c r="J200" s="15"/>
      <c r="K200" s="15"/>
      <c r="L200" s="15"/>
      <c r="M200" s="15"/>
      <c r="N200" s="15"/>
      <c r="O200" s="15"/>
      <c r="P200" s="15"/>
      <c r="Q200" s="15"/>
      <c r="R200" s="15"/>
      <c r="S200" s="15"/>
      <c r="T200" s="15"/>
      <c r="U200" s="229" t="s">
        <v>222</v>
      </c>
      <c r="V200" s="272" t="s">
        <v>221</v>
      </c>
      <c r="W200" s="225"/>
      <c r="X200" s="944">
        <f>SUMIFS(COMPRAS!BG:BG,COMPRAS!BF:BF,V200,COMPRAS!CS:CS,"=01-REGIMEN GENERAL",COMPRAS!CX:CX,"=SI",COMPRAS!DD:DD,"=SI")+SUMIFS(COMPRAS!BP:BP,COMPRAS!BO:BO,V200,COMPRAS!CS:CS,"=01-REGIMEN GENERAL",COMPRAS!CX:CX,"=SI",COMPRAS!DD:DD,"=SI")+SUMIFS(COMPRAS!BY:BY,COMPRAS!BX:BX,V200,COMPRAS!CS:CS,"=01-REGIMEN GENERAL",COMPRAS!CX:CX,"=SI",COMPRAS!DD:DD,"=SI")</f>
        <v>0</v>
      </c>
      <c r="Y200" s="945"/>
      <c r="Z200" s="945"/>
      <c r="AA200" s="945"/>
      <c r="AB200" s="224"/>
      <c r="AC200" s="52"/>
      <c r="AD200" s="227"/>
      <c r="AE200" s="944">
        <f>SUMIFS(COMPRAS!BI:BI,COMPRAS!BF:BF,V200,COMPRAS!CS:CS,"=01-REGIMEN GENERAL",COMPRAS!CX:CX,"=SI",COMPRAS!DD:DD,"=SI")+SUMIFS(COMPRAS!BR:BR,COMPRAS!BO:BO,V200,COMPRAS!CS:CS,"=01-REGIMEN GENERAL",COMPRAS!CX:CX,"=SI",COMPRAS!DD:DD,"=SI")+SUMIFS(COMPRAS!CA:CA,COMPRAS!BX:BX,V200,COMPRAS!CS:CS,"=01-REGIMEN GENERAL",COMPRAS!CX:CX,"=SI",COMPRAS!DD:DD,"=SI")</f>
        <v>0</v>
      </c>
      <c r="AF200" s="945"/>
      <c r="AG200" s="945"/>
      <c r="AH200" s="945"/>
      <c r="AI200" s="206"/>
    </row>
    <row r="201" spans="1:35" ht="21" hidden="1" customHeight="1" outlineLevel="2" x14ac:dyDescent="0.35">
      <c r="A201" s="979"/>
      <c r="B201" s="980"/>
      <c r="C201" s="988"/>
      <c r="D201" s="15"/>
      <c r="E201" s="15"/>
      <c r="F201" s="15"/>
      <c r="G201" s="15"/>
      <c r="H201" s="15"/>
      <c r="I201" s="15"/>
      <c r="J201" s="15"/>
      <c r="K201" s="15"/>
      <c r="L201" s="15"/>
      <c r="M201" s="15"/>
      <c r="N201" s="15"/>
      <c r="O201" s="15"/>
      <c r="P201" s="15"/>
      <c r="Q201" s="15"/>
      <c r="R201" s="15"/>
      <c r="S201" s="15"/>
      <c r="T201" s="15"/>
      <c r="U201" s="229" t="s">
        <v>224</v>
      </c>
      <c r="V201" s="272" t="s">
        <v>223</v>
      </c>
      <c r="W201" s="225"/>
      <c r="X201" s="944">
        <f>SUMIFS(COMPRAS!BG:BG,COMPRAS!BF:BF,V201,COMPRAS!CS:CS,"=01-REGIMEN GENERAL",COMPRAS!CX:CX,"=SI",COMPRAS!DD:DD,"=SI")+SUMIFS(COMPRAS!BP:BP,COMPRAS!BO:BO,V201,COMPRAS!CS:CS,"=01-REGIMEN GENERAL",COMPRAS!CX:CX,"=SI",COMPRAS!DD:DD,"=SI")+SUMIFS(COMPRAS!BY:BY,COMPRAS!BX:BX,V201,COMPRAS!CS:CS,"=01-REGIMEN GENERAL",COMPRAS!CX:CX,"=SI",COMPRAS!DD:DD,"=SI")</f>
        <v>0</v>
      </c>
      <c r="Y201" s="945"/>
      <c r="Z201" s="945"/>
      <c r="AA201" s="945"/>
      <c r="AB201" s="224"/>
      <c r="AC201" s="52"/>
      <c r="AD201" s="227"/>
      <c r="AE201" s="944">
        <f>SUMIFS(COMPRAS!BI:BI,COMPRAS!BF:BF,V201,COMPRAS!CS:CS,"=01-REGIMEN GENERAL",COMPRAS!CX:CX,"=SI",COMPRAS!DD:DD,"=SI")+SUMIFS(COMPRAS!BR:BR,COMPRAS!BO:BO,V201,COMPRAS!CS:CS,"=01-REGIMEN GENERAL",COMPRAS!CX:CX,"=SI",COMPRAS!DD:DD,"=SI")+SUMIFS(COMPRAS!CA:CA,COMPRAS!BX:BX,V201,COMPRAS!CS:CS,"=01-REGIMEN GENERAL",COMPRAS!CX:CX,"=SI",COMPRAS!DD:DD,"=SI")</f>
        <v>0</v>
      </c>
      <c r="AF201" s="945"/>
      <c r="AG201" s="945"/>
      <c r="AH201" s="945"/>
      <c r="AI201" s="206"/>
    </row>
    <row r="202" spans="1:35" ht="21" hidden="1" customHeight="1" outlineLevel="2" x14ac:dyDescent="0.35">
      <c r="A202" s="979"/>
      <c r="B202" s="980"/>
      <c r="C202" s="988"/>
      <c r="D202" s="15"/>
      <c r="E202" s="15"/>
      <c r="F202" s="15"/>
      <c r="G202" s="15"/>
      <c r="H202" s="15"/>
      <c r="I202" s="15"/>
      <c r="J202" s="15"/>
      <c r="K202" s="15"/>
      <c r="L202" s="15"/>
      <c r="M202" s="15"/>
      <c r="N202" s="15"/>
      <c r="O202" s="15"/>
      <c r="P202" s="15"/>
      <c r="Q202" s="15"/>
      <c r="R202" s="15"/>
      <c r="S202" s="15"/>
      <c r="T202" s="15"/>
      <c r="U202" s="229" t="s">
        <v>226</v>
      </c>
      <c r="V202" s="272" t="s">
        <v>225</v>
      </c>
      <c r="W202" s="225"/>
      <c r="X202" s="944">
        <f>SUMIFS(COMPRAS!BG:BG,COMPRAS!BF:BF,V202,COMPRAS!CS:CS,"=01-REGIMEN GENERAL",COMPRAS!CX:CX,"=SI",COMPRAS!DD:DD,"=SI")+SUMIFS(COMPRAS!BP:BP,COMPRAS!BO:BO,V202,COMPRAS!CS:CS,"=01-REGIMEN GENERAL",COMPRAS!CX:CX,"=SI",COMPRAS!DD:DD,"=SI")+SUMIFS(COMPRAS!BY:BY,COMPRAS!BX:BX,V202,COMPRAS!CS:CS,"=01-REGIMEN GENERAL",COMPRAS!CX:CX,"=SI",COMPRAS!DD:DD,"=SI")</f>
        <v>0</v>
      </c>
      <c r="Y202" s="945"/>
      <c r="Z202" s="945"/>
      <c r="AA202" s="945"/>
      <c r="AB202" s="224"/>
      <c r="AC202" s="52"/>
      <c r="AD202" s="227"/>
      <c r="AE202" s="944">
        <f>SUMIFS(COMPRAS!BI:BI,COMPRAS!BF:BF,V202,COMPRAS!CS:CS,"=01-REGIMEN GENERAL",COMPRAS!CX:CX,"=SI",COMPRAS!DD:DD,"=SI")+SUMIFS(COMPRAS!BR:BR,COMPRAS!BO:BO,V202,COMPRAS!CS:CS,"=01-REGIMEN GENERAL",COMPRAS!CX:CX,"=SI",COMPRAS!DD:DD,"=SI")+SUMIFS(COMPRAS!CA:CA,COMPRAS!BX:BX,V202,COMPRAS!CS:CS,"=01-REGIMEN GENERAL",COMPRAS!CX:CX,"=SI",COMPRAS!DD:DD,"=SI")</f>
        <v>0</v>
      </c>
      <c r="AF202" s="945"/>
      <c r="AG202" s="945"/>
      <c r="AH202" s="945"/>
      <c r="AI202" s="206"/>
    </row>
    <row r="203" spans="1:35" ht="21" hidden="1" customHeight="1" outlineLevel="2" x14ac:dyDescent="0.35">
      <c r="A203" s="979"/>
      <c r="B203" s="980"/>
      <c r="C203" s="988"/>
      <c r="D203" s="15"/>
      <c r="E203" s="15"/>
      <c r="F203" s="15"/>
      <c r="G203" s="15"/>
      <c r="H203" s="15"/>
      <c r="I203" s="15"/>
      <c r="J203" s="15"/>
      <c r="K203" s="15"/>
      <c r="L203" s="15"/>
      <c r="M203" s="15"/>
      <c r="N203" s="15"/>
      <c r="O203" s="15"/>
      <c r="P203" s="15"/>
      <c r="Q203" s="15"/>
      <c r="R203" s="15"/>
      <c r="S203" s="15"/>
      <c r="T203" s="15"/>
      <c r="U203" s="229" t="s">
        <v>228</v>
      </c>
      <c r="V203" s="272" t="s">
        <v>227</v>
      </c>
      <c r="W203" s="225"/>
      <c r="X203" s="944">
        <f>SUMIFS(COMPRAS!BG:BG,COMPRAS!BF:BF,V203,COMPRAS!CS:CS,"=01-REGIMEN GENERAL",COMPRAS!CX:CX,"=SI",COMPRAS!DD:DD,"=SI")+SUMIFS(COMPRAS!BP:BP,COMPRAS!BO:BO,V203,COMPRAS!CS:CS,"=01-REGIMEN GENERAL",COMPRAS!CX:CX,"=SI",COMPRAS!DD:DD,"=SI")+SUMIFS(COMPRAS!BY:BY,COMPRAS!BX:BX,V203,COMPRAS!CS:CS,"=01-REGIMEN GENERAL",COMPRAS!CX:CX,"=SI",COMPRAS!DD:DD,"=SI")</f>
        <v>0</v>
      </c>
      <c r="Y203" s="945"/>
      <c r="Z203" s="945"/>
      <c r="AA203" s="945"/>
      <c r="AB203" s="224"/>
      <c r="AC203" s="52"/>
      <c r="AD203" s="227"/>
      <c r="AE203" s="944">
        <f>SUMIFS(COMPRAS!BI:BI,COMPRAS!BF:BF,V203,COMPRAS!CS:CS,"=01-REGIMEN GENERAL",COMPRAS!CX:CX,"=SI",COMPRAS!DD:DD,"=SI")+SUMIFS(COMPRAS!BR:BR,COMPRAS!BO:BO,V203,COMPRAS!CS:CS,"=01-REGIMEN GENERAL",COMPRAS!CX:CX,"=SI",COMPRAS!DD:DD,"=SI")+SUMIFS(COMPRAS!CA:CA,COMPRAS!BX:BX,V203,COMPRAS!CS:CS,"=01-REGIMEN GENERAL",COMPRAS!CX:CX,"=SI",COMPRAS!DD:DD,"=SI")</f>
        <v>0</v>
      </c>
      <c r="AF203" s="945"/>
      <c r="AG203" s="945"/>
      <c r="AH203" s="945"/>
      <c r="AI203" s="206"/>
    </row>
    <row r="204" spans="1:35" ht="21" customHeight="1" outlineLevel="1" collapsed="1" thickBot="1" x14ac:dyDescent="0.4">
      <c r="A204" s="979"/>
      <c r="B204" s="980"/>
      <c r="C204" s="988"/>
      <c r="D204" s="15" t="s">
        <v>940</v>
      </c>
      <c r="E204" s="15"/>
      <c r="F204" s="15"/>
      <c r="G204" s="15"/>
      <c r="H204" s="15"/>
      <c r="I204" s="15"/>
      <c r="J204" s="15"/>
      <c r="K204" s="15"/>
      <c r="L204" s="15"/>
      <c r="M204" s="15"/>
      <c r="N204" s="15"/>
      <c r="O204" s="15"/>
      <c r="P204" s="15"/>
      <c r="Q204" s="15"/>
      <c r="R204" s="15"/>
      <c r="S204" s="15"/>
      <c r="T204" s="15"/>
      <c r="U204" s="130"/>
      <c r="V204" s="226">
        <v>412</v>
      </c>
      <c r="W204" s="225" t="s">
        <v>773</v>
      </c>
      <c r="X204" s="992">
        <f>SUM(X205:AA205)</f>
        <v>0</v>
      </c>
      <c r="Y204" s="993"/>
      <c r="Z204" s="993"/>
      <c r="AA204" s="993"/>
      <c r="AB204" s="220"/>
      <c r="AC204" s="970"/>
      <c r="AD204" s="971"/>
      <c r="AE204" s="971"/>
      <c r="AF204" s="971"/>
      <c r="AG204" s="971"/>
      <c r="AH204" s="971"/>
      <c r="AI204" s="972"/>
    </row>
    <row r="205" spans="1:35" ht="21" hidden="1" customHeight="1" outlineLevel="2" thickBot="1" x14ac:dyDescent="0.4">
      <c r="A205" s="982"/>
      <c r="B205" s="983"/>
      <c r="C205" s="989"/>
      <c r="D205" s="5"/>
      <c r="E205" s="5"/>
      <c r="F205" s="5"/>
      <c r="G205" s="5"/>
      <c r="H205" s="5"/>
      <c r="I205" s="5"/>
      <c r="J205" s="5"/>
      <c r="K205" s="5"/>
      <c r="L205" s="5"/>
      <c r="M205" s="5"/>
      <c r="N205" s="5"/>
      <c r="O205" s="5"/>
      <c r="P205" s="5"/>
      <c r="Q205" s="5"/>
      <c r="R205" s="5"/>
      <c r="S205" s="5"/>
      <c r="T205" s="5"/>
      <c r="U205" s="223" t="s">
        <v>232</v>
      </c>
      <c r="V205" s="222">
        <v>524</v>
      </c>
      <c r="W205" s="221"/>
      <c r="X205" s="985">
        <f>SUMIFS(COMPRAS!BG:BG,COMPRAS!BF:BF,V205,COMPRAS!CS:CS,"=01-REGIMEN GENERAL",COMPRAS!CX:CX,"=SI",COMPRAS!DD:DD,"=SI")+SUMIFS(COMPRAS!BP:BP,COMPRAS!BO:BO,V205,COMPRAS!CS:CS,"=01-REGIMEN GENERAL",COMPRAS!CX:CX,"=SI",COMPRAS!DD:DD,"=SI")+SUMIFS(COMPRAS!BY:BY,COMPRAS!BX:BX,V205,COMPRAS!CS:CS,"=01-REGIMEN GENERAL",COMPRAS!CX:CX,"=SI",COMPRAS!DD:DD,"=SI")</f>
        <v>0</v>
      </c>
      <c r="Y205" s="986"/>
      <c r="Z205" s="986"/>
      <c r="AA205" s="986"/>
      <c r="AB205" s="268"/>
      <c r="AC205" s="967"/>
      <c r="AD205" s="968"/>
      <c r="AE205" s="968"/>
      <c r="AF205" s="968"/>
      <c r="AG205" s="968"/>
      <c r="AH205" s="968"/>
      <c r="AI205" s="969"/>
    </row>
    <row r="206" spans="1:35" ht="21" customHeight="1" outlineLevel="1" collapsed="1" x14ac:dyDescent="0.35">
      <c r="A206" s="976" t="s">
        <v>953</v>
      </c>
      <c r="B206" s="977"/>
      <c r="C206" s="978"/>
      <c r="D206" s="118" t="s">
        <v>952</v>
      </c>
      <c r="E206" s="118"/>
      <c r="F206" s="118"/>
      <c r="G206" s="118"/>
      <c r="H206" s="118"/>
      <c r="I206" s="118"/>
      <c r="J206" s="118"/>
      <c r="K206" s="118"/>
      <c r="L206" s="118"/>
      <c r="M206" s="118"/>
      <c r="N206" s="118"/>
      <c r="O206" s="118"/>
      <c r="P206" s="118"/>
      <c r="Q206" s="118"/>
      <c r="R206" s="118"/>
      <c r="S206" s="118"/>
      <c r="T206" s="118"/>
      <c r="U206" s="238"/>
      <c r="V206" s="237">
        <v>413</v>
      </c>
      <c r="W206" s="236" t="s">
        <v>773</v>
      </c>
      <c r="X206" s="946">
        <f>SUM(X207)</f>
        <v>0</v>
      </c>
      <c r="Y206" s="947"/>
      <c r="Z206" s="947"/>
      <c r="AA206" s="947"/>
      <c r="AB206" s="230"/>
      <c r="AC206" s="234">
        <v>463</v>
      </c>
      <c r="AD206" s="233" t="s">
        <v>773</v>
      </c>
      <c r="AE206" s="944">
        <f>SUM(AE207)</f>
        <v>0</v>
      </c>
      <c r="AF206" s="945"/>
      <c r="AG206" s="945"/>
      <c r="AH206" s="945"/>
      <c r="AI206" s="232"/>
    </row>
    <row r="207" spans="1:35" ht="21" hidden="1" customHeight="1" outlineLevel="2" x14ac:dyDescent="0.35">
      <c r="A207" s="979"/>
      <c r="B207" s="980"/>
      <c r="C207" s="981"/>
      <c r="D207" s="43"/>
      <c r="E207" s="43"/>
      <c r="F207" s="43"/>
      <c r="G207" s="43"/>
      <c r="H207" s="43"/>
      <c r="I207" s="43"/>
      <c r="J207" s="43"/>
      <c r="K207" s="43"/>
      <c r="L207" s="43"/>
      <c r="M207" s="43"/>
      <c r="N207" s="43"/>
      <c r="O207" s="43"/>
      <c r="P207" s="43"/>
      <c r="Q207" s="43"/>
      <c r="R207" s="43"/>
      <c r="U207" s="229" t="s">
        <v>197</v>
      </c>
      <c r="V207" s="272" t="s">
        <v>196</v>
      </c>
      <c r="W207" s="74"/>
      <c r="X207" s="944">
        <f>SUMIFS(COMPRAS!BG:BG,COMPRAS!BF:BF,V207,COMPRAS!CS:CS,"=01-REGIMEN GENERAL",COMPRAS!CX:CX,"&lt;&gt;SI",COMPRAS!DD:DD,"=SI")+SUMIFS(COMPRAS!BP:BP,COMPRAS!BO:BO,V207,COMPRAS!CS:CS,"=01-REGIMEN GENERAL",COMPRAS!CX:CX,"&lt;&gt;SI",COMPRAS!DD:DD,"=SI")+SUMIFS(COMPRAS!BY:BY,COMPRAS!BX:BX,V207,COMPRAS!CS:CS,"=01-REGIMEN GENERAL",COMPRAS!CX:CX,"&lt;&gt;SI",COMPRAS!DD:DD,"=SI")</f>
        <v>0</v>
      </c>
      <c r="Y207" s="945"/>
      <c r="Z207" s="945"/>
      <c r="AA207" s="945"/>
      <c r="AB207" s="43"/>
      <c r="AC207" s="111"/>
      <c r="AD207" s="227"/>
      <c r="AE207" s="944">
        <f>SUMIFS(COMPRAS!BI:BI,COMPRAS!BF:BF,V207,COMPRAS!CS:CS,"=01-REGIMEN GENERAL",COMPRAS!CX:CX,"&lt;&gt;SI",COMPRAS!DD:DD,"=SI")+SUMIFS(COMPRAS!BR:BR,COMPRAS!BO:BO,V207,COMPRAS!CS:CS,"=01-REGIMEN GENERAL",COMPRAS!CX:CX,"&lt;&gt;SI",COMPRAS!DD:DD,"=SI")+SUMIFS(COMPRAS!CA:CA,COMPRAS!BX:BX,V207,COMPRAS!CS:CS,"=01-REGIMEN GENERAL",COMPRAS!CX:CX,"&lt;&gt;SI",COMPRAS!DD:DD,"=SI")</f>
        <v>0</v>
      </c>
      <c r="AF207" s="945"/>
      <c r="AG207" s="945"/>
      <c r="AH207" s="945"/>
      <c r="AI207" s="206"/>
    </row>
    <row r="208" spans="1:35" ht="21" customHeight="1" outlineLevel="1" collapsed="1" x14ac:dyDescent="0.35">
      <c r="A208" s="979"/>
      <c r="B208" s="980"/>
      <c r="C208" s="981"/>
      <c r="D208" s="43" t="s">
        <v>951</v>
      </c>
      <c r="E208" s="43"/>
      <c r="F208" s="43"/>
      <c r="G208" s="43"/>
      <c r="H208" s="43"/>
      <c r="I208" s="43"/>
      <c r="J208" s="43"/>
      <c r="K208" s="43"/>
      <c r="L208" s="43"/>
      <c r="M208" s="43"/>
      <c r="N208" s="43"/>
      <c r="O208" s="43"/>
      <c r="P208" s="43"/>
      <c r="Q208" s="43"/>
      <c r="R208" s="15"/>
      <c r="S208" s="15"/>
      <c r="T208" s="15"/>
      <c r="U208" s="130"/>
      <c r="V208" s="241">
        <v>414</v>
      </c>
      <c r="W208" s="240" t="s">
        <v>773</v>
      </c>
      <c r="X208" s="944">
        <f>SUM(X209:AA211)</f>
        <v>0</v>
      </c>
      <c r="Y208" s="945"/>
      <c r="Z208" s="945"/>
      <c r="AA208" s="945"/>
      <c r="AB208" s="224"/>
      <c r="AC208" s="54">
        <v>464</v>
      </c>
      <c r="AD208" s="239" t="s">
        <v>773</v>
      </c>
      <c r="AE208" s="944">
        <f>SUM(AE209:AH211)</f>
        <v>0</v>
      </c>
      <c r="AF208" s="945"/>
      <c r="AG208" s="945"/>
      <c r="AH208" s="945"/>
      <c r="AI208" s="206"/>
    </row>
    <row r="209" spans="1:35" ht="21" hidden="1" customHeight="1" outlineLevel="2" x14ac:dyDescent="0.35">
      <c r="A209" s="979"/>
      <c r="B209" s="980"/>
      <c r="C209" s="981"/>
      <c r="D209" s="43"/>
      <c r="E209" s="43"/>
      <c r="F209" s="43"/>
      <c r="G209" s="43"/>
      <c r="H209" s="43"/>
      <c r="I209" s="43"/>
      <c r="J209" s="43"/>
      <c r="K209" s="43"/>
      <c r="L209" s="43"/>
      <c r="M209" s="43"/>
      <c r="N209" s="43"/>
      <c r="O209" s="43"/>
      <c r="P209" s="43"/>
      <c r="Q209" s="43"/>
      <c r="R209" s="43"/>
      <c r="S209" s="37"/>
      <c r="T209" s="37"/>
      <c r="U209" s="229" t="s">
        <v>191</v>
      </c>
      <c r="V209" s="272" t="s">
        <v>190</v>
      </c>
      <c r="W209" s="225"/>
      <c r="X209" s="944">
        <f>SUMIFS(COMPRAS!BG:BG,COMPRAS!BF:BF,V209,COMPRAS!CS:CS,"=01-REGIMEN GENERAL",COMPRAS!CX:CX,"&lt;&gt;SI",COMPRAS!DD:DD,"=SI")+SUMIFS(COMPRAS!BP:BP,COMPRAS!BO:BO,V209,COMPRAS!CS:CS,"=01-REGIMEN GENERAL",COMPRAS!CX:CX,"&lt;&gt;SI",COMPRAS!DD:DD,"=SI")+SUMIFS(COMPRAS!BY:BY,COMPRAS!BX:BX,V209,COMPRAS!CS:CS,"=01-REGIMEN GENERAL",COMPRAS!CX:CX,"&lt;&gt;SI",COMPRAS!DD:DD,"=SI")</f>
        <v>0</v>
      </c>
      <c r="Y209" s="945"/>
      <c r="Z209" s="945"/>
      <c r="AA209" s="945"/>
      <c r="AB209" s="224"/>
      <c r="AC209" s="52"/>
      <c r="AD209" s="227"/>
      <c r="AE209" s="944">
        <f>SUMIFS(COMPRAS!BI:BI,COMPRAS!BF:BF,V209,COMPRAS!CS:CS,"=01-REGIMEN GENERAL",COMPRAS!CX:CX,"&lt;&gt;SI",COMPRAS!DD:DD,"=SI")+SUMIFS(COMPRAS!BR:BR,COMPRAS!BO:BO,V209,COMPRAS!CS:CS,"=01-REGIMEN GENERAL",COMPRAS!CX:CX,"&lt;&gt;SI",COMPRAS!DD:DD,"=SI")+SUMIFS(COMPRAS!CA:CA,COMPRAS!BX:BX,V209,COMPRAS!CS:CS,"=01-REGIMEN GENERAL",COMPRAS!CX:CX,"&lt;&gt;SI",COMPRAS!DD:DD,"=SI")</f>
        <v>0</v>
      </c>
      <c r="AF209" s="945"/>
      <c r="AG209" s="945"/>
      <c r="AH209" s="945"/>
      <c r="AI209" s="206"/>
    </row>
    <row r="210" spans="1:35" ht="21" hidden="1" customHeight="1" outlineLevel="2" x14ac:dyDescent="0.35">
      <c r="A210" s="979"/>
      <c r="B210" s="980"/>
      <c r="C210" s="981"/>
      <c r="D210" s="43"/>
      <c r="E210" s="43"/>
      <c r="F210" s="43"/>
      <c r="G210" s="43"/>
      <c r="H210" s="43"/>
      <c r="I210" s="43"/>
      <c r="J210" s="43"/>
      <c r="K210" s="43"/>
      <c r="L210" s="43"/>
      <c r="M210" s="43"/>
      <c r="N210" s="43"/>
      <c r="O210" s="43"/>
      <c r="P210" s="43"/>
      <c r="Q210" s="43"/>
      <c r="R210" s="43"/>
      <c r="S210" s="37"/>
      <c r="T210" s="37"/>
      <c r="U210" s="229" t="s">
        <v>193</v>
      </c>
      <c r="V210" s="272" t="s">
        <v>192</v>
      </c>
      <c r="W210" s="225"/>
      <c r="X210" s="944">
        <f>SUMIFS(COMPRAS!BG:BG,COMPRAS!BF:BF,V210,COMPRAS!CS:CS,"=01-REGIMEN GENERAL",COMPRAS!CX:CX,"&lt;&gt;SI",COMPRAS!DD:DD,"=SI")+SUMIFS(COMPRAS!BP:BP,COMPRAS!BO:BO,V210,COMPRAS!CS:CS,"=01-REGIMEN GENERAL",COMPRAS!CX:CX,"&lt;&gt;SI",COMPRAS!DD:DD,"=SI")+SUMIFS(COMPRAS!BY:BY,COMPRAS!BX:BX,V210,COMPRAS!CS:CS,"=01-REGIMEN GENERAL",COMPRAS!CX:CX,"&lt;&gt;SI",COMPRAS!DD:DD,"=SI")</f>
        <v>0</v>
      </c>
      <c r="Y210" s="945"/>
      <c r="Z210" s="945"/>
      <c r="AA210" s="945"/>
      <c r="AB210" s="224"/>
      <c r="AC210" s="52"/>
      <c r="AD210" s="227"/>
      <c r="AE210" s="944">
        <f>SUMIFS(COMPRAS!BI:BI,COMPRAS!BF:BF,V210,COMPRAS!CS:CS,"=01-REGIMEN GENERAL",COMPRAS!CX:CX,"&lt;&gt;SI",COMPRAS!DD:DD,"=SI")+SUMIFS(COMPRAS!BR:BR,COMPRAS!BO:BO,V210,COMPRAS!CS:CS,"=01-REGIMEN GENERAL",COMPRAS!CX:CX,"&lt;&gt;SI",COMPRAS!DD:DD,"=SI")+SUMIFS(COMPRAS!CA:CA,COMPRAS!BX:BX,V210,COMPRAS!CS:CS,"=01-REGIMEN GENERAL",COMPRAS!CX:CX,"&lt;&gt;SI",COMPRAS!DD:DD,"=SI")</f>
        <v>0</v>
      </c>
      <c r="AF210" s="945"/>
      <c r="AG210" s="945"/>
      <c r="AH210" s="945"/>
      <c r="AI210" s="206"/>
    </row>
    <row r="211" spans="1:35" ht="21" hidden="1" customHeight="1" outlineLevel="2" x14ac:dyDescent="0.35">
      <c r="A211" s="979"/>
      <c r="B211" s="980"/>
      <c r="C211" s="981"/>
      <c r="D211" s="43"/>
      <c r="E211" s="43"/>
      <c r="F211" s="43"/>
      <c r="G211" s="43"/>
      <c r="H211" s="43"/>
      <c r="I211" s="43"/>
      <c r="J211" s="43"/>
      <c r="K211" s="43"/>
      <c r="L211" s="43"/>
      <c r="M211" s="15"/>
      <c r="N211" s="15"/>
      <c r="O211" s="15"/>
      <c r="P211" s="15"/>
      <c r="Q211" s="15"/>
      <c r="R211" s="15"/>
      <c r="S211" s="15"/>
      <c r="T211" s="15"/>
      <c r="U211" s="245" t="s">
        <v>195</v>
      </c>
      <c r="V211" s="272" t="s">
        <v>194</v>
      </c>
      <c r="W211" s="225"/>
      <c r="X211" s="944">
        <f>SUMIFS(COMPRAS!BG:BG,COMPRAS!BF:BF,V211,COMPRAS!CS:CS,"=01-REGIMEN GENERAL",COMPRAS!CX:CX,"&lt;&gt;SI",COMPRAS!DD:DD,"=SI")+SUMIFS(COMPRAS!BP:BP,COMPRAS!BO:BO,V211,COMPRAS!CS:CS,"=01-REGIMEN GENERAL",COMPRAS!CX:CX,"&lt;&gt;SI",COMPRAS!DD:DD,"=SI")+SUMIFS(COMPRAS!BY:BY,COMPRAS!BX:BX,V211,COMPRAS!CS:CS,"=01-REGIMEN GENERAL",COMPRAS!CX:CX,"&lt;&gt;SI",COMPRAS!DD:DD,"=SI")</f>
        <v>0</v>
      </c>
      <c r="Y211" s="945"/>
      <c r="Z211" s="945"/>
      <c r="AA211" s="945"/>
      <c r="AB211" s="224"/>
      <c r="AC211" s="52"/>
      <c r="AD211" s="227"/>
      <c r="AE211" s="944">
        <f>SUMIFS(COMPRAS!BI:BI,COMPRAS!BF:BF,V211,COMPRAS!CS:CS,"=01-REGIMEN GENERAL",COMPRAS!CX:CX,"&lt;&gt;SI",COMPRAS!DD:DD,"=SI")+SUMIFS(COMPRAS!BR:BR,COMPRAS!BO:BO,V211,COMPRAS!CS:CS,"=01-REGIMEN GENERAL",COMPRAS!CX:CX,"&lt;&gt;SI",COMPRAS!DD:DD,"=SI")+SUMIFS(COMPRAS!CA:CA,COMPRAS!BX:BX,V211,COMPRAS!CS:CS,"=01-REGIMEN GENERAL",COMPRAS!CX:CX,"&lt;&gt;SI",COMPRAS!DD:DD,"=SI")</f>
        <v>0</v>
      </c>
      <c r="AF211" s="945"/>
      <c r="AG211" s="945"/>
      <c r="AH211" s="945"/>
      <c r="AI211" s="206"/>
    </row>
    <row r="212" spans="1:35" ht="21" customHeight="1" outlineLevel="1" collapsed="1" x14ac:dyDescent="0.35">
      <c r="A212" s="979"/>
      <c r="B212" s="980"/>
      <c r="C212" s="981"/>
      <c r="D212" s="43" t="s">
        <v>948</v>
      </c>
      <c r="E212" s="43"/>
      <c r="F212" s="43"/>
      <c r="G212" s="43"/>
      <c r="H212" s="43"/>
      <c r="I212" s="43"/>
      <c r="J212" s="43"/>
      <c r="K212" s="43"/>
      <c r="L212" s="43"/>
      <c r="M212" s="43"/>
      <c r="N212" s="43"/>
      <c r="O212" s="43"/>
      <c r="P212" s="43"/>
      <c r="Q212" s="43"/>
      <c r="R212" s="43"/>
      <c r="S212" s="43"/>
      <c r="T212" s="43"/>
      <c r="U212" s="231"/>
      <c r="V212" s="226">
        <v>415</v>
      </c>
      <c r="W212" s="225" t="s">
        <v>773</v>
      </c>
      <c r="X212" s="944">
        <f>SUM(X213:AA215)</f>
        <v>0</v>
      </c>
      <c r="Y212" s="945"/>
      <c r="Z212" s="945"/>
      <c r="AA212" s="945"/>
      <c r="AB212" s="230"/>
      <c r="AC212" s="111">
        <v>465</v>
      </c>
      <c r="AD212" s="227" t="s">
        <v>773</v>
      </c>
      <c r="AE212" s="944">
        <f>SUM(AE213:AH215)</f>
        <v>0</v>
      </c>
      <c r="AF212" s="945"/>
      <c r="AG212" s="945"/>
      <c r="AH212" s="945"/>
      <c r="AI212" s="206"/>
    </row>
    <row r="213" spans="1:35" ht="21" hidden="1" customHeight="1" outlineLevel="2" x14ac:dyDescent="0.35">
      <c r="A213" s="979"/>
      <c r="B213" s="980"/>
      <c r="C213" s="981"/>
      <c r="D213" s="15"/>
      <c r="E213" s="15"/>
      <c r="F213" s="15"/>
      <c r="G213" s="15"/>
      <c r="H213" s="15"/>
      <c r="I213" s="15"/>
      <c r="J213" s="15"/>
      <c r="K213" s="15"/>
      <c r="L213" s="15"/>
      <c r="M213" s="15"/>
      <c r="N213" s="15"/>
      <c r="O213" s="15"/>
      <c r="P213" s="15"/>
      <c r="Q213" s="15"/>
      <c r="R213" s="15"/>
      <c r="S213" s="15"/>
      <c r="T213" s="15"/>
      <c r="U213" s="229" t="s">
        <v>1085</v>
      </c>
      <c r="V213" s="272" t="s">
        <v>185</v>
      </c>
      <c r="W213" s="225" t="s">
        <v>773</v>
      </c>
      <c r="X213" s="944">
        <f>SUMIFS(COMPRAS!BG:BG,COMPRAS!BF:BF,V213,COMPRAS!CS:CS,"=01-REGIMEN GENERAL",COMPRAS!CX:CX,"&lt;&gt;SI",COMPRAS!DD:DD,"=SI")+SUMIFS(COMPRAS!BP:BP,COMPRAS!BO:BO,V213,COMPRAS!CS:CS,"=01-REGIMEN GENERAL",COMPRAS!CX:CX,"&lt;&gt;SI",COMPRAS!DD:DD,"=SI")+SUMIFS(COMPRAS!BY:BY,COMPRAS!BX:BX,V213,COMPRAS!CS:CS,"=01-REGIMEN GENERAL",COMPRAS!CX:CX,"&lt;&gt;SI",COMPRAS!DD:DD,"=SI")</f>
        <v>0</v>
      </c>
      <c r="Y213" s="945"/>
      <c r="Z213" s="945"/>
      <c r="AA213" s="945"/>
      <c r="AB213" s="224"/>
      <c r="AC213" s="54"/>
      <c r="AD213" s="227" t="s">
        <v>773</v>
      </c>
      <c r="AE213" s="944">
        <f>SUMIFS(COMPRAS!BI:BI,COMPRAS!BF:BF,V213,COMPRAS!CS:CS,"=01-REGIMEN GENERAL",COMPRAS!CX:CX,"&lt;&gt;SI",COMPRAS!DD:DD,"=SI")+SUMIFS(COMPRAS!BR:BR,COMPRAS!BO:BO,V213,COMPRAS!CS:CS,"=01-REGIMEN GENERAL",COMPRAS!CX:CX,"&lt;&gt;SI",COMPRAS!DD:DD,"=SI")+SUMIFS(COMPRAS!CA:CA,COMPRAS!BX:BX,V213,COMPRAS!CS:CS,"=01-REGIMEN GENERAL",COMPRAS!CX:CX,"&lt;&gt;SI",COMPRAS!DD:DD,"=SI")</f>
        <v>0</v>
      </c>
      <c r="AF213" s="945"/>
      <c r="AG213" s="945"/>
      <c r="AH213" s="945"/>
      <c r="AI213" s="206"/>
    </row>
    <row r="214" spans="1:35" ht="21" hidden="1" customHeight="1" outlineLevel="2" x14ac:dyDescent="0.35">
      <c r="A214" s="979"/>
      <c r="B214" s="980"/>
      <c r="C214" s="981"/>
      <c r="D214" s="15"/>
      <c r="E214" s="15"/>
      <c r="F214" s="15"/>
      <c r="G214" s="15"/>
      <c r="H214" s="15"/>
      <c r="I214" s="15"/>
      <c r="J214" s="15"/>
      <c r="K214" s="15"/>
      <c r="L214" s="15"/>
      <c r="M214" s="15"/>
      <c r="N214" s="15"/>
      <c r="O214" s="15"/>
      <c r="P214" s="15"/>
      <c r="Q214" s="15"/>
      <c r="R214" s="15"/>
      <c r="S214" s="15"/>
      <c r="T214" s="15"/>
      <c r="U214" s="229" t="s">
        <v>1087</v>
      </c>
      <c r="V214" s="272" t="s">
        <v>187</v>
      </c>
      <c r="W214" s="225" t="s">
        <v>773</v>
      </c>
      <c r="X214" s="944">
        <f>SUMIFS(COMPRAS!BG:BG,COMPRAS!BF:BF,V214,COMPRAS!CS:CS,"=01-REGIMEN GENERAL",COMPRAS!CX:CX,"&lt;&gt;SI",COMPRAS!DD:DD,"=SI")+SUMIFS(COMPRAS!BP:BP,COMPRAS!BO:BO,V214,COMPRAS!CS:CS,"=01-REGIMEN GENERAL",COMPRAS!CX:CX,"&lt;&gt;SI",COMPRAS!DD:DD,"=SI")+SUMIFS(COMPRAS!BY:BY,COMPRAS!BX:BX,V214,COMPRAS!CS:CS,"=01-REGIMEN GENERAL",COMPRAS!CX:CX,"&lt;&gt;SI",COMPRAS!DD:DD,"=SI")</f>
        <v>0</v>
      </c>
      <c r="Y214" s="945"/>
      <c r="Z214" s="945"/>
      <c r="AA214" s="945"/>
      <c r="AB214" s="224"/>
      <c r="AC214" s="54"/>
      <c r="AD214" s="227" t="s">
        <v>773</v>
      </c>
      <c r="AE214" s="944">
        <f>SUMIFS(COMPRAS!BI:BI,COMPRAS!BF:BF,V214,COMPRAS!CS:CS,"=01-REGIMEN GENERAL",COMPRAS!CX:CX,"&lt;&gt;SI",COMPRAS!DD:DD,"=SI")+SUMIFS(COMPRAS!BR:BR,COMPRAS!BO:BO,V214,COMPRAS!CS:CS,"=01-REGIMEN GENERAL",COMPRAS!CX:CX,"&lt;&gt;SI",COMPRAS!DD:DD,"=SI")+SUMIFS(COMPRAS!CA:CA,COMPRAS!BX:BX,V214,COMPRAS!CS:CS,"=01-REGIMEN GENERAL",COMPRAS!CX:CX,"&lt;&gt;SI",COMPRAS!DD:DD,"=SI")</f>
        <v>0</v>
      </c>
      <c r="AF214" s="945"/>
      <c r="AG214" s="945"/>
      <c r="AH214" s="945"/>
      <c r="AI214" s="206"/>
    </row>
    <row r="215" spans="1:35" ht="21" hidden="1" customHeight="1" outlineLevel="2" x14ac:dyDescent="0.35">
      <c r="A215" s="979"/>
      <c r="B215" s="980"/>
      <c r="C215" s="981"/>
      <c r="D215" s="15"/>
      <c r="E215" s="15"/>
      <c r="F215" s="15"/>
      <c r="G215" s="15"/>
      <c r="H215" s="15"/>
      <c r="I215" s="15"/>
      <c r="J215" s="15"/>
      <c r="K215" s="15"/>
      <c r="L215" s="15"/>
      <c r="M215" s="15"/>
      <c r="N215" s="15"/>
      <c r="O215" s="15"/>
      <c r="P215" s="15"/>
      <c r="Q215" s="15"/>
      <c r="R215" s="15"/>
      <c r="S215" s="15"/>
      <c r="T215" s="15"/>
      <c r="U215" s="229" t="s">
        <v>1070</v>
      </c>
      <c r="V215" s="272" t="s">
        <v>1069</v>
      </c>
      <c r="W215" s="225" t="s">
        <v>773</v>
      </c>
      <c r="X215" s="944">
        <f>SUMIFS(COMPRAS!BG:BG,COMPRAS!BF:BF,V215,COMPRAS!CS:CS,"=01-REGIMEN GENERAL",COMPRAS!CX:CX,"&lt;&gt;SI",COMPRAS!DD:DD,"=SI")+SUMIFS(COMPRAS!BP:BP,COMPRAS!BO:BO,V215,COMPRAS!CS:CS,"=01-REGIMEN GENERAL",COMPRAS!CX:CX,"&lt;&gt;SI",COMPRAS!DD:DD,"=SI")+SUMIFS(COMPRAS!BY:BY,COMPRAS!BX:BX,V215,COMPRAS!CS:CS,"=01-REGIMEN GENERAL",COMPRAS!CX:CX,"&lt;&gt;SI",COMPRAS!DD:DD,"=SI")</f>
        <v>0</v>
      </c>
      <c r="Y215" s="945"/>
      <c r="Z215" s="945"/>
      <c r="AA215" s="945"/>
      <c r="AB215" s="224"/>
      <c r="AC215" s="54"/>
      <c r="AD215" s="227" t="s">
        <v>773</v>
      </c>
      <c r="AE215" s="944">
        <f>SUMIFS(COMPRAS!BI:BI,COMPRAS!BF:BF,V215,COMPRAS!CS:CS,"=01-REGIMEN GENERAL",COMPRAS!CX:CX,"&lt;&gt;SI",COMPRAS!DD:DD,"=SI")+SUMIFS(COMPRAS!BR:BR,COMPRAS!BO:BO,V215,COMPRAS!CS:CS,"=01-REGIMEN GENERAL",COMPRAS!CX:CX,"&lt;&gt;SI",COMPRAS!DD:DD,"=SI")+SUMIFS(COMPRAS!CA:CA,COMPRAS!BX:BX,V215,COMPRAS!CS:CS,"=01-REGIMEN GENERAL",COMPRAS!CX:CX,"&lt;&gt;SI",COMPRAS!DD:DD,"=SI")</f>
        <v>0</v>
      </c>
      <c r="AF215" s="945"/>
      <c r="AG215" s="945"/>
      <c r="AH215" s="945"/>
      <c r="AI215" s="206"/>
    </row>
    <row r="216" spans="1:35" ht="21" customHeight="1" outlineLevel="1" collapsed="1" x14ac:dyDescent="0.35">
      <c r="A216" s="979"/>
      <c r="B216" s="980"/>
      <c r="C216" s="981"/>
      <c r="D216" s="15" t="s">
        <v>947</v>
      </c>
      <c r="E216" s="15"/>
      <c r="F216" s="15"/>
      <c r="G216" s="15"/>
      <c r="H216" s="15"/>
      <c r="I216" s="15"/>
      <c r="J216" s="15"/>
      <c r="K216" s="15"/>
      <c r="L216" s="15"/>
      <c r="M216" s="15"/>
      <c r="N216" s="15"/>
      <c r="O216" s="15"/>
      <c r="P216" s="15"/>
      <c r="Q216" s="15"/>
      <c r="R216" s="15"/>
      <c r="S216" s="15"/>
      <c r="T216" s="15"/>
      <c r="U216" s="130"/>
      <c r="V216" s="226">
        <v>416</v>
      </c>
      <c r="W216" s="225" t="s">
        <v>773</v>
      </c>
      <c r="X216" s="944">
        <f>SUM(X217)</f>
        <v>0</v>
      </c>
      <c r="Y216" s="945"/>
      <c r="Z216" s="945"/>
      <c r="AA216" s="945"/>
      <c r="AB216" s="224"/>
      <c r="AC216" s="973"/>
      <c r="AD216" s="974"/>
      <c r="AE216" s="974"/>
      <c r="AF216" s="974"/>
      <c r="AG216" s="974"/>
      <c r="AH216" s="974"/>
      <c r="AI216" s="975"/>
    </row>
    <row r="217" spans="1:35" ht="21" hidden="1" customHeight="1" outlineLevel="2" thickBot="1" x14ac:dyDescent="0.4">
      <c r="A217" s="979"/>
      <c r="B217" s="980"/>
      <c r="C217" s="981"/>
      <c r="D217" s="15"/>
      <c r="E217" s="15"/>
      <c r="F217" s="15"/>
      <c r="G217" s="15"/>
      <c r="H217" s="15"/>
      <c r="I217" s="15"/>
      <c r="J217" s="15"/>
      <c r="K217" s="15"/>
      <c r="L217" s="15"/>
      <c r="M217" s="15"/>
      <c r="N217" s="15"/>
      <c r="O217" s="15"/>
      <c r="P217" s="15"/>
      <c r="Q217" s="15"/>
      <c r="R217" s="15"/>
      <c r="S217" s="15"/>
      <c r="T217" s="15"/>
      <c r="U217" s="229" t="s">
        <v>179</v>
      </c>
      <c r="V217" s="228">
        <v>504</v>
      </c>
      <c r="W217" s="225"/>
      <c r="X217" s="944">
        <f>SUMIFS(COMPRAS!BG:BG,COMPRAS!BF:BF,V217,COMPRAS!CS:CS,"=01-REGIMEN GENERAL",COMPRAS!CX:CX,"&lt;&gt;SI",COMPRAS!DD:DD,"=SI")+SUMIFS(COMPRAS!BP:BP,COMPRAS!BO:BO,V217,COMPRAS!CS:CS,"=01-REGIMEN GENERAL",COMPRAS!CX:CX,"&lt;&gt;SI",COMPRAS!DD:DD,"=SI")+SUMIFS(COMPRAS!BY:BY,COMPRAS!BX:BX,V217,COMPRAS!CS:CS,"=01-REGIMEN GENERAL",COMPRAS!CX:CX,"&lt;&gt;SI",COMPRAS!DD:DD,"=SI")</f>
        <v>0</v>
      </c>
      <c r="Y217" s="945"/>
      <c r="Z217" s="945"/>
      <c r="AA217" s="945"/>
      <c r="AB217" s="224"/>
      <c r="AC217" s="967"/>
      <c r="AD217" s="968"/>
      <c r="AE217" s="968"/>
      <c r="AF217" s="968"/>
      <c r="AG217" s="968"/>
      <c r="AH217" s="968"/>
      <c r="AI217" s="969"/>
    </row>
    <row r="218" spans="1:35" ht="21" customHeight="1" outlineLevel="1" collapsed="1" x14ac:dyDescent="0.35">
      <c r="A218" s="979"/>
      <c r="B218" s="980"/>
      <c r="C218" s="981"/>
      <c r="D218" s="15" t="s">
        <v>946</v>
      </c>
      <c r="E218" s="15"/>
      <c r="F218" s="15"/>
      <c r="G218" s="15"/>
      <c r="H218" s="15"/>
      <c r="I218" s="15"/>
      <c r="J218" s="15"/>
      <c r="K218" s="15"/>
      <c r="L218" s="15"/>
      <c r="M218" s="15"/>
      <c r="N218" s="15"/>
      <c r="O218" s="15"/>
      <c r="P218" s="15"/>
      <c r="Q218" s="15"/>
      <c r="R218" s="15"/>
      <c r="S218" s="15"/>
      <c r="T218" s="15"/>
      <c r="U218" s="130"/>
      <c r="V218" s="226">
        <v>417</v>
      </c>
      <c r="W218" s="225" t="s">
        <v>773</v>
      </c>
      <c r="X218" s="944">
        <f>SUM(X219:AA219)</f>
        <v>0</v>
      </c>
      <c r="Y218" s="945"/>
      <c r="Z218" s="945"/>
      <c r="AA218" s="945"/>
      <c r="AB218" s="224"/>
      <c r="AC218" s="54">
        <v>467</v>
      </c>
      <c r="AD218" s="227" t="s">
        <v>773</v>
      </c>
      <c r="AE218" s="944">
        <f>SUM(AE219:AH219)</f>
        <v>0</v>
      </c>
      <c r="AF218" s="945"/>
      <c r="AG218" s="945"/>
      <c r="AH218" s="945"/>
      <c r="AI218" s="206"/>
    </row>
    <row r="219" spans="1:35" ht="21" hidden="1" customHeight="1" outlineLevel="2" x14ac:dyDescent="0.35">
      <c r="A219" s="979"/>
      <c r="B219" s="980"/>
      <c r="C219" s="981"/>
      <c r="D219" s="15"/>
      <c r="E219" s="15"/>
      <c r="F219" s="15"/>
      <c r="G219" s="15"/>
      <c r="H219" s="15"/>
      <c r="I219" s="15"/>
      <c r="J219" s="15"/>
      <c r="K219" s="15"/>
      <c r="L219" s="15"/>
      <c r="M219" s="15"/>
      <c r="N219" s="15"/>
      <c r="O219" s="15"/>
      <c r="P219" s="15"/>
      <c r="Q219" s="15"/>
      <c r="R219" s="15"/>
      <c r="S219" s="15"/>
      <c r="T219" s="15"/>
      <c r="U219" s="229" t="s">
        <v>181</v>
      </c>
      <c r="V219" s="228" t="s">
        <v>180</v>
      </c>
      <c r="W219" s="225"/>
      <c r="X219" s="944">
        <f>SUMIFS(COMPRAS!BG:BG,COMPRAS!BF:BF,V219,COMPRAS!CS:CS,"=01-REGIMEN GENERAL",COMPRAS!CX:CX,"&lt;&gt;SI",COMPRAS!DD:DD,"=SI")+SUMIFS(COMPRAS!BP:BP,COMPRAS!BO:BO,V219,COMPRAS!CS:CS,"=01-REGIMEN GENERAL",COMPRAS!CX:CX,"&lt;&gt;SI",COMPRAS!DD:DD,"=SI")+SUMIFS(COMPRAS!BY:BY,COMPRAS!BX:BX,V219,COMPRAS!CS:CS,"=01-REGIMEN GENERAL",COMPRAS!CX:CX,"&lt;&gt;SI",COMPRAS!DD:DD,"=SI")</f>
        <v>0</v>
      </c>
      <c r="Y219" s="945"/>
      <c r="Z219" s="945"/>
      <c r="AA219" s="945"/>
      <c r="AB219" s="224"/>
      <c r="AC219" s="52"/>
      <c r="AD219" s="227"/>
      <c r="AE219" s="944">
        <f>SUMIFS(COMPRAS!BI:BI,COMPRAS!BF:BF,V219,COMPRAS!CS:CS,"=01-REGIMEN GENERAL",COMPRAS!CX:CX,"&lt;&gt;SI",COMPRAS!DD:DD,"=SI")+SUMIFS(COMPRAS!BR:BR,COMPRAS!BO:BO,V219,COMPRAS!CS:CS,"=01-REGIMEN GENERAL",COMPRAS!CX:CX,"&lt;&gt;SI",COMPRAS!DD:DD,"=SI")+SUMIFS(COMPRAS!CA:CA,COMPRAS!BX:BX,V219,COMPRAS!CS:CS,"=01-REGIMEN GENERAL",COMPRAS!CX:CX,"&lt;&gt;SI",COMPRAS!DD:DD,"=SI")</f>
        <v>0</v>
      </c>
      <c r="AF219" s="945"/>
      <c r="AG219" s="945"/>
      <c r="AH219" s="945"/>
      <c r="AI219" s="206"/>
    </row>
    <row r="220" spans="1:35" ht="21" customHeight="1" outlineLevel="1" collapsed="1" x14ac:dyDescent="0.35">
      <c r="A220" s="979"/>
      <c r="B220" s="980"/>
      <c r="C220" s="981"/>
      <c r="D220" s="15" t="s">
        <v>945</v>
      </c>
      <c r="E220" s="15"/>
      <c r="F220" s="15"/>
      <c r="G220" s="15"/>
      <c r="H220" s="15"/>
      <c r="I220" s="15"/>
      <c r="J220" s="15"/>
      <c r="K220" s="15"/>
      <c r="L220" s="15"/>
      <c r="M220" s="15"/>
      <c r="N220" s="15"/>
      <c r="O220" s="15"/>
      <c r="P220" s="15"/>
      <c r="Q220" s="15"/>
      <c r="R220" s="15"/>
      <c r="S220" s="15"/>
      <c r="T220" s="15"/>
      <c r="U220" s="130"/>
      <c r="V220" s="226">
        <v>418</v>
      </c>
      <c r="W220" s="225" t="s">
        <v>773</v>
      </c>
      <c r="X220" s="944">
        <f>SUM(X221:AA221)</f>
        <v>0</v>
      </c>
      <c r="Y220" s="945"/>
      <c r="Z220" s="945"/>
      <c r="AA220" s="945"/>
      <c r="AB220" s="224"/>
      <c r="AC220" s="54">
        <v>468</v>
      </c>
      <c r="AD220" s="227" t="s">
        <v>773</v>
      </c>
      <c r="AE220" s="944">
        <f>SUM(AE221:AH221)</f>
        <v>0</v>
      </c>
      <c r="AF220" s="945"/>
      <c r="AG220" s="945"/>
      <c r="AH220" s="945"/>
      <c r="AI220" s="206"/>
    </row>
    <row r="221" spans="1:35" ht="21" hidden="1" customHeight="1" outlineLevel="2" x14ac:dyDescent="0.35">
      <c r="A221" s="979"/>
      <c r="B221" s="980"/>
      <c r="C221" s="981"/>
      <c r="D221" s="15"/>
      <c r="E221" s="15"/>
      <c r="F221" s="15"/>
      <c r="G221" s="15"/>
      <c r="H221" s="15"/>
      <c r="I221" s="15"/>
      <c r="J221" s="15"/>
      <c r="K221" s="15"/>
      <c r="L221" s="15"/>
      <c r="M221" s="15"/>
      <c r="N221" s="15"/>
      <c r="O221" s="15"/>
      <c r="P221" s="15"/>
      <c r="Q221" s="15"/>
      <c r="R221" s="15"/>
      <c r="S221" s="15"/>
      <c r="T221" s="15"/>
      <c r="U221" s="229" t="s">
        <v>1082</v>
      </c>
      <c r="V221" s="228" t="s">
        <v>182</v>
      </c>
      <c r="W221" s="225"/>
      <c r="X221" s="944">
        <f>SUMIFS(COMPRAS!BG:BG,COMPRAS!BF:BF,V221,COMPRAS!CS:CS,"=01-REGIMEN GENERAL",COMPRAS!CX:CX,"&lt;&gt;SI",COMPRAS!DD:DD,"=SI")+SUMIFS(COMPRAS!BP:BP,COMPRAS!BO:BO,V221,COMPRAS!CS:CS,"=01-REGIMEN GENERAL",COMPRAS!CX:CX,"&lt;&gt;SI",COMPRAS!DD:DD,"=SI")+SUMIFS(COMPRAS!BY:BY,COMPRAS!BX:BX,V221,COMPRAS!CS:CS,"=01-REGIMEN GENERAL",COMPRAS!CX:CX,"&lt;&gt;SI",COMPRAS!DD:DD,"=SI")</f>
        <v>0</v>
      </c>
      <c r="Y221" s="945"/>
      <c r="Z221" s="945"/>
      <c r="AA221" s="945"/>
      <c r="AB221" s="224"/>
      <c r="AC221" s="52"/>
      <c r="AD221" s="227"/>
      <c r="AE221" s="944">
        <f>SUMIFS(COMPRAS!BI:BI,COMPRAS!BF:BF,V221,COMPRAS!CS:CS,"=01-REGIMEN GENERAL",COMPRAS!CX:CX,"&lt;&gt;SI",COMPRAS!DD:DD,"=SI")+SUMIFS(COMPRAS!BR:BR,COMPRAS!BO:BO,V221,COMPRAS!CS:CS,"=01-REGIMEN GENERAL",COMPRAS!CX:CX,"&lt;&gt;SI",COMPRAS!DD:DD,"=SI")+SUMIFS(COMPRAS!CA:CA,COMPRAS!BX:BX,V221,COMPRAS!CS:CS,"=01-REGIMEN GENERAL",COMPRAS!CX:CX,"&lt;&gt;SI",COMPRAS!DD:DD,"=SI")</f>
        <v>0</v>
      </c>
      <c r="AF221" s="945"/>
      <c r="AG221" s="945"/>
      <c r="AH221" s="945"/>
      <c r="AI221" s="206"/>
    </row>
    <row r="222" spans="1:35" ht="21" customHeight="1" outlineLevel="1" collapsed="1" x14ac:dyDescent="0.35">
      <c r="A222" s="979"/>
      <c r="B222" s="980"/>
      <c r="C222" s="981"/>
      <c r="D222" s="15" t="s">
        <v>1216</v>
      </c>
      <c r="E222" s="15"/>
      <c r="F222" s="15"/>
      <c r="G222" s="15"/>
      <c r="H222" s="15"/>
      <c r="I222" s="15"/>
      <c r="J222" s="15"/>
      <c r="K222" s="15"/>
      <c r="L222" s="15"/>
      <c r="M222" s="15"/>
      <c r="N222" s="15"/>
      <c r="O222" s="15"/>
      <c r="P222" s="15"/>
      <c r="Q222" s="15"/>
      <c r="R222" s="15"/>
      <c r="S222" s="15"/>
      <c r="T222" s="15"/>
      <c r="U222" s="130"/>
      <c r="V222" s="226">
        <v>4160</v>
      </c>
      <c r="W222" s="225" t="s">
        <v>773</v>
      </c>
      <c r="X222" s="944">
        <f>SUM(X223)</f>
        <v>0</v>
      </c>
      <c r="Y222" s="945"/>
      <c r="Z222" s="945"/>
      <c r="AA222" s="945"/>
      <c r="AB222" s="224"/>
      <c r="AC222" s="54">
        <v>4660</v>
      </c>
      <c r="AD222" s="227" t="s">
        <v>773</v>
      </c>
      <c r="AE222" s="944">
        <f>SUM(AE223:AH223)</f>
        <v>0</v>
      </c>
      <c r="AF222" s="945"/>
      <c r="AG222" s="945"/>
      <c r="AH222" s="945"/>
      <c r="AI222" s="206"/>
    </row>
    <row r="223" spans="1:35" ht="21" hidden="1" customHeight="1" outlineLevel="2" x14ac:dyDescent="0.35">
      <c r="A223" s="979"/>
      <c r="B223" s="980"/>
      <c r="C223" s="981"/>
      <c r="D223" s="15"/>
      <c r="E223" s="15"/>
      <c r="F223" s="15"/>
      <c r="G223" s="15"/>
      <c r="H223" s="15"/>
      <c r="I223" s="15"/>
      <c r="J223" s="15"/>
      <c r="K223" s="15"/>
      <c r="L223" s="15"/>
      <c r="M223" s="15"/>
      <c r="N223" s="15"/>
      <c r="O223" s="15"/>
      <c r="P223" s="15"/>
      <c r="Q223" s="15"/>
      <c r="R223" s="15"/>
      <c r="S223" s="15"/>
      <c r="T223" s="15"/>
      <c r="U223" s="229" t="s">
        <v>1081</v>
      </c>
      <c r="V223" s="228">
        <v>504</v>
      </c>
      <c r="W223" s="225"/>
      <c r="X223" s="944">
        <f>SUMIFS(COMPRAS!BG:BG,COMPRAS!BF:BF,V223,COMPRAS!CS:CS,"=01-REGIMEN GENERAL",COMPRAS!CX:CX,"&lt;&gt;SI",COMPRAS!DD:DD,"=SI")+SUMIFS(COMPRAS!BP:BP,COMPRAS!BO:BO,V223,COMPRAS!CS:CS,"=01-REGIMEN GENERAL",COMPRAS!CX:CX,"&lt;&gt;SI",COMPRAS!DD:DD,"=SI")+SUMIFS(COMPRAS!BY:BY,COMPRAS!BX:BX,V223,COMPRAS!CS:CS,"=01-REGIMEN GENERAL",COMPRAS!CX:CX,"&lt;&gt;SI",COMPRAS!DD:DD,"=SI")</f>
        <v>0</v>
      </c>
      <c r="Y223" s="945"/>
      <c r="Z223" s="945"/>
      <c r="AA223" s="945"/>
      <c r="AB223" s="224"/>
      <c r="AC223" s="52"/>
      <c r="AD223" s="227"/>
      <c r="AE223" s="944">
        <f>SUMIFS(COMPRAS!BI:BI,COMPRAS!BF:BF,V223,COMPRAS!CS:CS,"=01-REGIMEN GENERAL",COMPRAS!CX:CX,"&lt;&gt;SI",COMPRAS!DD:DD,"=SI")+SUMIFS(COMPRAS!BR:BR,COMPRAS!BO:BO,V223,COMPRAS!CS:CS,"=01-REGIMEN GENERAL",COMPRAS!CX:CX,"&lt;&gt;SI",COMPRAS!DD:DD,"=SI")+SUMIFS(COMPRAS!CA:CA,COMPRAS!BX:BX,V223,COMPRAS!CS:CS,"=01-REGIMEN GENERAL",COMPRAS!CX:CX,"&lt;&gt;SI",COMPRAS!DD:DD,"=SI")</f>
        <v>0</v>
      </c>
      <c r="AF223" s="945"/>
      <c r="AG223" s="945"/>
      <c r="AH223" s="945"/>
      <c r="AI223" s="206"/>
    </row>
    <row r="224" spans="1:35" ht="21" customHeight="1" outlineLevel="1" collapsed="1" x14ac:dyDescent="0.35">
      <c r="A224" s="979"/>
      <c r="B224" s="980"/>
      <c r="C224" s="981"/>
      <c r="D224" s="15" t="s">
        <v>1217</v>
      </c>
      <c r="E224" s="15"/>
      <c r="F224" s="15"/>
      <c r="G224" s="15"/>
      <c r="H224" s="15"/>
      <c r="I224" s="15"/>
      <c r="J224" s="15"/>
      <c r="K224" s="15"/>
      <c r="L224" s="15"/>
      <c r="M224" s="15"/>
      <c r="N224" s="15"/>
      <c r="O224" s="15"/>
      <c r="P224" s="15"/>
      <c r="Q224" s="15"/>
      <c r="R224" s="15"/>
      <c r="S224" s="15"/>
      <c r="T224" s="15"/>
      <c r="U224" s="130"/>
      <c r="V224" s="226">
        <v>4170</v>
      </c>
      <c r="W224" s="225" t="s">
        <v>773</v>
      </c>
      <c r="X224" s="944">
        <f>SUM(X225)</f>
        <v>0</v>
      </c>
      <c r="Y224" s="945"/>
      <c r="Z224" s="945"/>
      <c r="AA224" s="945"/>
      <c r="AB224" s="224"/>
      <c r="AC224" s="54">
        <v>4670</v>
      </c>
      <c r="AD224" s="227" t="s">
        <v>773</v>
      </c>
      <c r="AE224" s="944">
        <f>SUM(AE225:AH225)</f>
        <v>0</v>
      </c>
      <c r="AF224" s="945"/>
      <c r="AG224" s="945"/>
      <c r="AH224" s="945"/>
      <c r="AI224" s="206"/>
    </row>
    <row r="225" spans="1:35" ht="21" hidden="1" customHeight="1" outlineLevel="2" x14ac:dyDescent="0.35">
      <c r="A225" s="979"/>
      <c r="B225" s="980"/>
      <c r="C225" s="981"/>
      <c r="D225" s="15"/>
      <c r="E225" s="15"/>
      <c r="F225" s="15"/>
      <c r="G225" s="15"/>
      <c r="H225" s="15"/>
      <c r="I225" s="15"/>
      <c r="J225" s="15"/>
      <c r="K225" s="15"/>
      <c r="L225" s="15"/>
      <c r="M225" s="15"/>
      <c r="N225" s="15"/>
      <c r="O225" s="15"/>
      <c r="P225" s="15"/>
      <c r="Q225" s="15"/>
      <c r="R225" s="15"/>
      <c r="S225" s="15"/>
      <c r="T225" s="15"/>
      <c r="U225" s="229" t="s">
        <v>1221</v>
      </c>
      <c r="V225" s="228" t="s">
        <v>180</v>
      </c>
      <c r="W225" s="225"/>
      <c r="X225" s="944">
        <f>SUMIFS(COMPRAS!BG:BG,COMPRAS!BF:BF,V225,COMPRAS!CS:CS,"=01-REGIMEN GENERAL",COMPRAS!CX:CX,"&lt;&gt;SI",COMPRAS!DD:DD,"=SI")+SUMIFS(COMPRAS!BP:BP,COMPRAS!BO:BO,V225,COMPRAS!CS:CS,"=01-REGIMEN GENERAL",COMPRAS!CX:CX,"&lt;&gt;SI",COMPRAS!DD:DD,"=SI")+SUMIFS(COMPRAS!BY:BY,COMPRAS!BX:BX,V225,COMPRAS!CS:CS,"=01-REGIMEN GENERAL",COMPRAS!CX:CX,"&lt;&gt;SI",COMPRAS!DD:DD,"=SI")</f>
        <v>0</v>
      </c>
      <c r="Y225" s="945"/>
      <c r="Z225" s="945"/>
      <c r="AA225" s="945"/>
      <c r="AB225" s="224"/>
      <c r="AC225" s="52"/>
      <c r="AD225" s="227"/>
      <c r="AE225" s="944">
        <f>SUMIFS(COMPRAS!BI:BI,COMPRAS!BF:BF,V225,COMPRAS!CS:CS,"=01-REGIMEN GENERAL",COMPRAS!CX:CX,"&lt;&gt;SI",COMPRAS!DD:DD,"=SI")+SUMIFS(COMPRAS!BR:BR,COMPRAS!BO:BO,V225,COMPRAS!CS:CS,"=01-REGIMEN GENERAL",COMPRAS!CX:CX,"&lt;&gt;SI",COMPRAS!DD:DD,"=SI")+SUMIFS(COMPRAS!CA:CA,COMPRAS!BX:BX,V225,COMPRAS!CS:CS,"=01-REGIMEN GENERAL",COMPRAS!CX:CX,"&lt;&gt;SI",COMPRAS!DD:DD,"=SI")</f>
        <v>0</v>
      </c>
      <c r="AF225" s="945"/>
      <c r="AG225" s="945"/>
      <c r="AH225" s="945"/>
      <c r="AI225" s="206"/>
    </row>
    <row r="226" spans="1:35" ht="21" customHeight="1" outlineLevel="1" collapsed="1" x14ac:dyDescent="0.35">
      <c r="A226" s="979"/>
      <c r="B226" s="980"/>
      <c r="C226" s="981"/>
      <c r="D226" s="15" t="s">
        <v>1218</v>
      </c>
      <c r="E226" s="15"/>
      <c r="F226" s="15"/>
      <c r="G226" s="15"/>
      <c r="H226" s="15"/>
      <c r="I226" s="15"/>
      <c r="J226" s="15"/>
      <c r="K226" s="15"/>
      <c r="L226" s="15"/>
      <c r="M226" s="15"/>
      <c r="N226" s="15"/>
      <c r="O226" s="15"/>
      <c r="P226" s="15"/>
      <c r="Q226" s="15"/>
      <c r="R226" s="15"/>
      <c r="S226" s="15"/>
      <c r="T226" s="15"/>
      <c r="U226" s="130"/>
      <c r="V226" s="226">
        <v>4180</v>
      </c>
      <c r="W226" s="225" t="s">
        <v>773</v>
      </c>
      <c r="X226" s="944">
        <f>SUM(X227)</f>
        <v>0</v>
      </c>
      <c r="Y226" s="945"/>
      <c r="Z226" s="945"/>
      <c r="AA226" s="945"/>
      <c r="AB226" s="224"/>
      <c r="AC226" s="54">
        <v>4680</v>
      </c>
      <c r="AD226" s="227" t="s">
        <v>773</v>
      </c>
      <c r="AE226" s="944">
        <f>SUM(AE227:AH227)</f>
        <v>0</v>
      </c>
      <c r="AF226" s="945"/>
      <c r="AG226" s="945"/>
      <c r="AH226" s="945"/>
      <c r="AI226" s="206"/>
    </row>
    <row r="227" spans="1:35" ht="21" hidden="1" customHeight="1" outlineLevel="2" x14ac:dyDescent="0.35">
      <c r="A227" s="979"/>
      <c r="B227" s="980"/>
      <c r="C227" s="981"/>
      <c r="D227" s="15"/>
      <c r="E227" s="15"/>
      <c r="F227" s="15"/>
      <c r="G227" s="15"/>
      <c r="H227" s="15"/>
      <c r="I227" s="15"/>
      <c r="J227" s="15"/>
      <c r="K227" s="15"/>
      <c r="L227" s="15"/>
      <c r="M227" s="15"/>
      <c r="N227" s="15"/>
      <c r="O227" s="15"/>
      <c r="P227" s="15"/>
      <c r="Q227" s="15"/>
      <c r="R227" s="15"/>
      <c r="S227" s="15"/>
      <c r="T227" s="15"/>
      <c r="U227" s="229" t="s">
        <v>1220</v>
      </c>
      <c r="V227" s="228" t="s">
        <v>182</v>
      </c>
      <c r="W227" s="225"/>
      <c r="X227" s="944">
        <f>SUMIFS(COMPRAS!BG:BG,COMPRAS!BF:BF,V227,COMPRAS!CS:CS,"=01-REGIMEN GENERAL",COMPRAS!CX:CX,"&lt;&gt;SI",COMPRAS!DD:DD,"=SI")+SUMIFS(COMPRAS!BP:BP,COMPRAS!BO:BO,V227,COMPRAS!CS:CS,"=01-REGIMEN GENERAL",COMPRAS!CX:CX,"&lt;&gt;SI",COMPRAS!DD:DD,"=SI")+SUMIFS(COMPRAS!BY:BY,COMPRAS!BX:BX,V227,COMPRAS!CS:CS,"=01-REGIMEN GENERAL",COMPRAS!CX:CX,"&lt;&gt;SI",COMPRAS!DD:DD,"=SI")</f>
        <v>0</v>
      </c>
      <c r="Y227" s="945"/>
      <c r="Z227" s="945"/>
      <c r="AA227" s="945"/>
      <c r="AB227" s="224"/>
      <c r="AC227" s="52"/>
      <c r="AD227" s="227"/>
      <c r="AE227" s="944">
        <f>SUMIFS(COMPRAS!BI:BI,COMPRAS!BF:BF,V227,COMPRAS!CS:CS,"=01-REGIMEN GENERAL",COMPRAS!CX:CX,"&lt;&gt;SI",COMPRAS!DD:DD,"=SI")+SUMIFS(COMPRAS!BR:BR,COMPRAS!BO:BO,V227,COMPRAS!CS:CS,"=01-REGIMEN GENERAL",COMPRAS!CX:CX,"&lt;&gt;SI",COMPRAS!DD:DD,"=SI")+SUMIFS(COMPRAS!CA:CA,COMPRAS!BX:BX,V227,COMPRAS!CS:CS,"=01-REGIMEN GENERAL",COMPRAS!CX:CX,"&lt;&gt;SI",COMPRAS!DD:DD,"=SI")</f>
        <v>0</v>
      </c>
      <c r="AF227" s="945"/>
      <c r="AG227" s="945"/>
      <c r="AH227" s="945"/>
      <c r="AI227" s="206"/>
    </row>
    <row r="228" spans="1:35" ht="21" customHeight="1" outlineLevel="1" collapsed="1" x14ac:dyDescent="0.35">
      <c r="A228" s="979"/>
      <c r="B228" s="980"/>
      <c r="C228" s="981"/>
      <c r="D228" s="15" t="s">
        <v>944</v>
      </c>
      <c r="E228" s="15"/>
      <c r="F228" s="15"/>
      <c r="G228" s="15"/>
      <c r="H228" s="15"/>
      <c r="I228" s="15"/>
      <c r="J228" s="15"/>
      <c r="K228" s="15"/>
      <c r="L228" s="15"/>
      <c r="M228" s="15"/>
      <c r="N228" s="15"/>
      <c r="O228" s="15"/>
      <c r="P228" s="15"/>
      <c r="Q228" s="15"/>
      <c r="R228" s="15"/>
      <c r="S228" s="15"/>
      <c r="T228" s="15"/>
      <c r="U228" s="130"/>
      <c r="V228" s="226">
        <v>419</v>
      </c>
      <c r="W228" s="225" t="s">
        <v>773</v>
      </c>
      <c r="X228" s="944">
        <f>SUM(X229:AA229)</f>
        <v>0</v>
      </c>
      <c r="Y228" s="945"/>
      <c r="Z228" s="945"/>
      <c r="AA228" s="945"/>
      <c r="AB228" s="224"/>
      <c r="AC228" s="54">
        <v>469</v>
      </c>
      <c r="AD228" s="227" t="s">
        <v>773</v>
      </c>
      <c r="AE228" s="944">
        <f>SUM(AE229:AH229)</f>
        <v>0</v>
      </c>
      <c r="AF228" s="945"/>
      <c r="AG228" s="945"/>
      <c r="AH228" s="945"/>
      <c r="AI228" s="206"/>
    </row>
    <row r="229" spans="1:35" ht="21" hidden="1" customHeight="1" outlineLevel="2" x14ac:dyDescent="0.35">
      <c r="A229" s="979"/>
      <c r="B229" s="980"/>
      <c r="C229" s="981"/>
      <c r="D229" s="15"/>
      <c r="E229" s="15"/>
      <c r="F229" s="15"/>
      <c r="G229" s="15"/>
      <c r="H229" s="15"/>
      <c r="I229" s="15"/>
      <c r="J229" s="15"/>
      <c r="K229" s="15"/>
      <c r="L229" s="15"/>
      <c r="M229" s="15"/>
      <c r="N229" s="15"/>
      <c r="O229" s="15"/>
      <c r="P229" s="15"/>
      <c r="Q229" s="15"/>
      <c r="R229" s="15"/>
      <c r="S229" s="15"/>
      <c r="T229" s="15"/>
      <c r="U229" s="229" t="s">
        <v>229</v>
      </c>
      <c r="V229" s="272">
        <v>521</v>
      </c>
      <c r="W229" s="225"/>
      <c r="X229" s="944">
        <f>SUMIFS(COMPRAS!BG:BG,COMPRAS!BF:BF,V229,COMPRAS!CS:CS,"=01-REGIMEN GENERAL",COMPRAS!CX:CX,"&lt;&gt;SI",COMPRAS!DD:DD,"=SI")+SUMIFS(COMPRAS!BP:BP,COMPRAS!BO:BO,V229,COMPRAS!CS:CS,"=01-REGIMEN GENERAL",COMPRAS!CX:CX,"&lt;&gt;SI",COMPRAS!DD:DD,"=SI")+SUMIFS(COMPRAS!BY:BY,COMPRAS!BX:BX,V229,COMPRAS!CS:CS,"=01-REGIMEN GENERAL",COMPRAS!CX:CX,"&lt;&gt;SI",COMPRAS!DD:DD,"=SI")</f>
        <v>0</v>
      </c>
      <c r="Y229" s="945"/>
      <c r="Z229" s="945"/>
      <c r="AA229" s="945"/>
      <c r="AB229" s="224"/>
      <c r="AC229" s="52"/>
      <c r="AD229" s="227"/>
      <c r="AE229" s="944">
        <f>SUMIFS(COMPRAS!BI:BI,COMPRAS!BF:BF,V229,COMPRAS!CS:CS,"=01-REGIMEN GENERAL",COMPRAS!CX:CX,"&lt;&gt;SI",COMPRAS!DD:DD,"=SI")+SUMIFS(COMPRAS!BR:BR,COMPRAS!BO:BO,V229,COMPRAS!CS:CS,"=01-REGIMEN GENERAL",COMPRAS!CX:CX,"&lt;&gt;SI",COMPRAS!DD:DD,"=SI")+SUMIFS(COMPRAS!CA:CA,COMPRAS!BX:BX,V229,COMPRAS!CS:CS,"=01-REGIMEN GENERAL",COMPRAS!CX:CX,"&lt;&gt;SI",COMPRAS!DD:DD,"=SI")</f>
        <v>0</v>
      </c>
      <c r="AF229" s="945"/>
      <c r="AG229" s="945"/>
      <c r="AH229" s="945"/>
      <c r="AI229" s="206"/>
    </row>
    <row r="230" spans="1:35" ht="21" customHeight="1" outlineLevel="1" collapsed="1" x14ac:dyDescent="0.35">
      <c r="A230" s="979"/>
      <c r="B230" s="980"/>
      <c r="C230" s="981"/>
      <c r="D230" s="15" t="s">
        <v>943</v>
      </c>
      <c r="E230" s="15"/>
      <c r="F230" s="15"/>
      <c r="G230" s="15"/>
      <c r="H230" s="15"/>
      <c r="I230" s="15"/>
      <c r="J230" s="15"/>
      <c r="K230" s="15"/>
      <c r="L230" s="15"/>
      <c r="M230" s="15"/>
      <c r="N230" s="15"/>
      <c r="O230" s="15"/>
      <c r="P230" s="15"/>
      <c r="Q230" s="15"/>
      <c r="R230" s="15"/>
      <c r="S230" s="15"/>
      <c r="T230" s="15"/>
      <c r="U230" s="130"/>
      <c r="V230" s="226">
        <v>420</v>
      </c>
      <c r="W230" s="225" t="s">
        <v>773</v>
      </c>
      <c r="X230" s="944">
        <f>SUM(X231:AA231)</f>
        <v>0</v>
      </c>
      <c r="Y230" s="945"/>
      <c r="Z230" s="945"/>
      <c r="AA230" s="945"/>
      <c r="AB230" s="224"/>
      <c r="AC230" s="54">
        <v>470</v>
      </c>
      <c r="AD230" s="227" t="s">
        <v>773</v>
      </c>
      <c r="AE230" s="944">
        <f>SUM(AE231:AH231)</f>
        <v>0</v>
      </c>
      <c r="AF230" s="945"/>
      <c r="AG230" s="945"/>
      <c r="AH230" s="945"/>
      <c r="AI230" s="206"/>
    </row>
    <row r="231" spans="1:35" ht="21" hidden="1" customHeight="1" outlineLevel="2" x14ac:dyDescent="0.35">
      <c r="A231" s="979"/>
      <c r="B231" s="980"/>
      <c r="C231" s="981"/>
      <c r="D231" s="15"/>
      <c r="E231" s="15"/>
      <c r="F231" s="15"/>
      <c r="G231" s="15"/>
      <c r="H231" s="15"/>
      <c r="I231" s="15"/>
      <c r="J231" s="15"/>
      <c r="K231" s="15"/>
      <c r="L231" s="15"/>
      <c r="M231" s="15"/>
      <c r="N231" s="15"/>
      <c r="O231" s="15"/>
      <c r="P231" s="15"/>
      <c r="Q231" s="15"/>
      <c r="R231" s="15"/>
      <c r="S231" s="15"/>
      <c r="T231" s="15"/>
      <c r="U231" s="229" t="s">
        <v>1089</v>
      </c>
      <c r="V231" s="272" t="s">
        <v>230</v>
      </c>
      <c r="W231" s="225"/>
      <c r="X231" s="944">
        <f>SUMIFS(COMPRAS!BG:BG,COMPRAS!BF:BF,V231,COMPRAS!CS:CS,"=01-REGIMEN GENERAL",COMPRAS!CX:CX,"&lt;&gt;SI",COMPRAS!DD:DD,"=SI")+SUMIFS(COMPRAS!BP:BP,COMPRAS!BO:BO,V231,COMPRAS!CS:CS,"=01-REGIMEN GENERAL",COMPRAS!CX:CX,"&lt;&gt;SI",COMPRAS!DD:DD,"=SI")+SUMIFS(COMPRAS!BY:BY,COMPRAS!BX:BX,V231,COMPRAS!CS:CS,"=01-REGIMEN GENERAL",COMPRAS!CX:CX,"&lt;&gt;SI",COMPRAS!DD:DD,"=SI")</f>
        <v>0</v>
      </c>
      <c r="Y231" s="945"/>
      <c r="Z231" s="945"/>
      <c r="AA231" s="945"/>
      <c r="AB231" s="224"/>
      <c r="AC231" s="52"/>
      <c r="AD231" s="227"/>
      <c r="AE231" s="944">
        <f>SUMIFS(COMPRAS!BI:BI,COMPRAS!BF:BF,V231,COMPRAS!CS:CS,"=01-REGIMEN GENERAL",COMPRAS!CX:CX,"&lt;&gt;SI",COMPRAS!DD:DD,"=SI")+SUMIFS(COMPRAS!BR:BR,COMPRAS!BO:BO,V231,COMPRAS!CS:CS,"=01-REGIMEN GENERAL",COMPRAS!CX:CX,"&lt;&gt;SI",COMPRAS!DD:DD,"=SI")+SUMIFS(COMPRAS!CA:CA,COMPRAS!BX:BX,V231,COMPRAS!CS:CS,"=01-REGIMEN GENERAL",COMPRAS!CX:CX,"&lt;&gt;SI",COMPRAS!DD:DD,"=SI")</f>
        <v>0</v>
      </c>
      <c r="AF231" s="945"/>
      <c r="AG231" s="945"/>
      <c r="AH231" s="945"/>
      <c r="AI231" s="206"/>
    </row>
    <row r="232" spans="1:35" ht="21" customHeight="1" outlineLevel="1" collapsed="1" x14ac:dyDescent="0.35">
      <c r="A232" s="979"/>
      <c r="B232" s="980"/>
      <c r="C232" s="981"/>
      <c r="D232" s="15" t="s">
        <v>942</v>
      </c>
      <c r="E232" s="15"/>
      <c r="F232" s="15"/>
      <c r="G232" s="15"/>
      <c r="H232" s="15"/>
      <c r="I232" s="15"/>
      <c r="J232" s="15"/>
      <c r="K232" s="15"/>
      <c r="L232" s="15"/>
      <c r="M232" s="15"/>
      <c r="N232" s="15"/>
      <c r="O232" s="15"/>
      <c r="P232" s="15"/>
      <c r="Q232" s="15"/>
      <c r="R232" s="15"/>
      <c r="S232" s="15"/>
      <c r="T232" s="15"/>
      <c r="U232" s="130"/>
      <c r="V232" s="226">
        <v>421</v>
      </c>
      <c r="W232" s="225" t="s">
        <v>773</v>
      </c>
      <c r="X232" s="944">
        <f>SUM(X233:AA233)</f>
        <v>0</v>
      </c>
      <c r="Y232" s="945"/>
      <c r="Z232" s="945"/>
      <c r="AA232" s="945"/>
      <c r="AB232" s="224"/>
      <c r="AC232" s="54">
        <v>471</v>
      </c>
      <c r="AD232" s="227" t="s">
        <v>773</v>
      </c>
      <c r="AE232" s="944">
        <f>SUM(AE233:AH233)</f>
        <v>0</v>
      </c>
      <c r="AF232" s="945"/>
      <c r="AG232" s="945"/>
      <c r="AH232" s="945"/>
      <c r="AI232" s="206"/>
    </row>
    <row r="233" spans="1:35" ht="21" hidden="1" customHeight="1" outlineLevel="2" x14ac:dyDescent="0.35">
      <c r="A233" s="979"/>
      <c r="B233" s="980"/>
      <c r="C233" s="981"/>
      <c r="D233" s="15"/>
      <c r="E233" s="15"/>
      <c r="F233" s="15"/>
      <c r="G233" s="15"/>
      <c r="H233" s="15"/>
      <c r="I233" s="15"/>
      <c r="J233" s="15"/>
      <c r="K233" s="15"/>
      <c r="L233" s="15"/>
      <c r="M233" s="15"/>
      <c r="N233" s="15"/>
      <c r="O233" s="15"/>
      <c r="P233" s="15"/>
      <c r="Q233" s="15"/>
      <c r="R233" s="15"/>
      <c r="S233" s="15"/>
      <c r="T233" s="15"/>
      <c r="U233" s="229" t="s">
        <v>1068</v>
      </c>
      <c r="V233" s="272" t="s">
        <v>1067</v>
      </c>
      <c r="W233" s="225"/>
      <c r="X233" s="944">
        <f>SUMIFS(COMPRAS!BG:BG,COMPRAS!BF:BF,V233,COMPRAS!CS:CS,"=01-REGIMEN GENERAL",COMPRAS!CX:CX,"&lt;&gt;SI",COMPRAS!DD:DD,"=SI")+SUMIFS(COMPRAS!BP:BP,COMPRAS!BO:BO,V233,COMPRAS!CS:CS,"=01-REGIMEN GENERAL",COMPRAS!CX:CX,"&lt;&gt;SI",COMPRAS!DD:DD,"=SI")+SUMIFS(COMPRAS!BY:BY,COMPRAS!BX:BX,V233,COMPRAS!CS:CS,"=01-REGIMEN GENERAL",COMPRAS!CX:CX,"&lt;&gt;SI",COMPRAS!DD:DD,"=SI")</f>
        <v>0</v>
      </c>
      <c r="Y233" s="945"/>
      <c r="Z233" s="945"/>
      <c r="AA233" s="945"/>
      <c r="AB233" s="224"/>
      <c r="AC233" s="52"/>
      <c r="AD233" s="227"/>
      <c r="AE233" s="944">
        <f>SUMIFS(COMPRAS!BI:BI,COMPRAS!BF:BF,V233,COMPRAS!CS:CS,"=01-REGIMEN GENERAL",COMPRAS!CX:CX,"&lt;&gt;SI",COMPRAS!DD:DD,"=SI")+SUMIFS(COMPRAS!BR:BR,COMPRAS!BO:BO,V233,COMPRAS!CS:CS,"=01-REGIMEN GENERAL",COMPRAS!CX:CX,"&lt;&gt;SI",COMPRAS!DD:DD,"=SI")+SUMIFS(COMPRAS!CA:CA,COMPRAS!BX:BX,V233,COMPRAS!CS:CS,"=01-REGIMEN GENERAL",COMPRAS!CX:CX,"&lt;&gt;SI",COMPRAS!DD:DD,"=SI")</f>
        <v>0</v>
      </c>
      <c r="AF233" s="945"/>
      <c r="AG233" s="945"/>
      <c r="AH233" s="945"/>
      <c r="AI233" s="206"/>
    </row>
    <row r="234" spans="1:35" ht="21" customHeight="1" outlineLevel="1" collapsed="1" x14ac:dyDescent="0.35">
      <c r="A234" s="979"/>
      <c r="B234" s="980"/>
      <c r="C234" s="981"/>
      <c r="D234" s="15" t="s">
        <v>941</v>
      </c>
      <c r="E234" s="15"/>
      <c r="F234" s="15"/>
      <c r="G234" s="15"/>
      <c r="H234" s="15"/>
      <c r="I234" s="15"/>
      <c r="J234" s="15"/>
      <c r="K234" s="15"/>
      <c r="L234" s="15"/>
      <c r="M234" s="15"/>
      <c r="N234" s="15"/>
      <c r="O234" s="15"/>
      <c r="P234" s="15"/>
      <c r="Q234" s="15"/>
      <c r="R234" s="15"/>
      <c r="S234" s="15"/>
      <c r="T234" s="15"/>
      <c r="U234" s="130"/>
      <c r="V234" s="226">
        <v>422</v>
      </c>
      <c r="W234" s="225" t="s">
        <v>773</v>
      </c>
      <c r="X234" s="944">
        <f>SUM(X235:AA260)</f>
        <v>0</v>
      </c>
      <c r="Y234" s="945"/>
      <c r="Z234" s="945"/>
      <c r="AA234" s="945"/>
      <c r="AB234" s="224"/>
      <c r="AC234" s="54">
        <v>472</v>
      </c>
      <c r="AD234" s="227" t="s">
        <v>773</v>
      </c>
      <c r="AE234" s="944">
        <f>SUM(AE235:AH260)</f>
        <v>0</v>
      </c>
      <c r="AF234" s="945"/>
      <c r="AG234" s="945"/>
      <c r="AH234" s="945"/>
      <c r="AI234" s="206"/>
    </row>
    <row r="235" spans="1:35" ht="21" hidden="1" customHeight="1" outlineLevel="2" x14ac:dyDescent="0.35">
      <c r="A235" s="979"/>
      <c r="B235" s="980"/>
      <c r="C235" s="981"/>
      <c r="D235" s="15"/>
      <c r="E235" s="15"/>
      <c r="F235" s="15"/>
      <c r="G235" s="15"/>
      <c r="H235" s="15"/>
      <c r="I235" s="15"/>
      <c r="J235" s="15"/>
      <c r="K235" s="15"/>
      <c r="L235" s="15"/>
      <c r="M235" s="15"/>
      <c r="N235" s="15"/>
      <c r="O235" s="15"/>
      <c r="P235" s="15"/>
      <c r="Q235" s="15"/>
      <c r="R235" s="15"/>
      <c r="S235" s="15"/>
      <c r="T235" s="15"/>
      <c r="U235" s="229" t="s">
        <v>176</v>
      </c>
      <c r="V235" s="272">
        <v>500</v>
      </c>
      <c r="W235" s="225"/>
      <c r="X235" s="944">
        <f>SUMIFS(COMPRAS!BG:BG,COMPRAS!BF:BF,V235,COMPRAS!CS:CS,"=01-REGIMEN GENERAL",COMPRAS!CX:CX,"&lt;&gt;SI",COMPRAS!DD:DD,"=SI")+SUMIFS(COMPRAS!BP:BP,COMPRAS!BO:BO,V235,COMPRAS!CS:CS,"=01-REGIMEN GENERAL",COMPRAS!CX:CX,"&lt;&gt;SI",COMPRAS!DD:DD,"=SI")+SUMIFS(COMPRAS!BY:BY,COMPRAS!BX:BX,V235,COMPRAS!CS:CS,"=01-REGIMEN GENERAL",COMPRAS!CX:CX,"&lt;&gt;SI",COMPRAS!DD:DD,"=SI")</f>
        <v>0</v>
      </c>
      <c r="Y235" s="945"/>
      <c r="Z235" s="945"/>
      <c r="AA235" s="945"/>
      <c r="AB235" s="224"/>
      <c r="AC235" s="52"/>
      <c r="AD235" s="227"/>
      <c r="AE235" s="944">
        <f>SUMIFS(COMPRAS!BI:BI,COMPRAS!BF:BF,V235,COMPRAS!CS:CS,"=01-REGIMEN GENERAL",COMPRAS!CX:CX,"&lt;&gt;SI",COMPRAS!DD:DD,"=SI")+SUMIFS(COMPRAS!BR:BR,COMPRAS!BO:BO,V235,COMPRAS!CS:CS,"=01-REGIMEN GENERAL",COMPRAS!CX:CX,"&lt;&gt;SI",COMPRAS!DD:DD,"=SI")+SUMIFS(COMPRAS!CA:CA,COMPRAS!BX:BX,V235,COMPRAS!CS:CS,"=01-REGIMEN GENERAL",COMPRAS!CX:CX,"&lt;&gt;SI",COMPRAS!DD:DD,"=SI")</f>
        <v>0</v>
      </c>
      <c r="AF235" s="945"/>
      <c r="AG235" s="945"/>
      <c r="AH235" s="945"/>
      <c r="AI235" s="206"/>
    </row>
    <row r="236" spans="1:35" ht="21" hidden="1" customHeight="1" outlineLevel="2" x14ac:dyDescent="0.35">
      <c r="A236" s="979"/>
      <c r="B236" s="980"/>
      <c r="C236" s="981"/>
      <c r="D236" s="15"/>
      <c r="E236" s="15"/>
      <c r="F236" s="15"/>
      <c r="G236" s="15"/>
      <c r="H236" s="15"/>
      <c r="I236" s="15"/>
      <c r="J236" s="15"/>
      <c r="K236" s="15"/>
      <c r="L236" s="15"/>
      <c r="M236" s="15"/>
      <c r="N236" s="15"/>
      <c r="O236" s="15"/>
      <c r="P236" s="15"/>
      <c r="Q236" s="15"/>
      <c r="R236" s="15"/>
      <c r="S236" s="15"/>
      <c r="T236" s="15"/>
      <c r="U236" s="229" t="s">
        <v>177</v>
      </c>
      <c r="V236" s="272">
        <v>501</v>
      </c>
      <c r="W236" s="225"/>
      <c r="X236" s="944">
        <f>SUMIFS(COMPRAS!BG:BG,COMPRAS!BF:BF,V236,COMPRAS!CS:CS,"=01-REGIMEN GENERAL",COMPRAS!CX:CX,"&lt;&gt;SI",COMPRAS!DD:DD,"=SI")+SUMIFS(COMPRAS!BP:BP,COMPRAS!BO:BO,V236,COMPRAS!CS:CS,"=01-REGIMEN GENERAL",COMPRAS!CX:CX,"&lt;&gt;SI",COMPRAS!DD:DD,"=SI")+SUMIFS(COMPRAS!BY:BY,COMPRAS!BX:BX,V236,COMPRAS!CS:CS,"=01-REGIMEN GENERAL",COMPRAS!CX:CX,"&lt;&gt;SI",COMPRAS!DD:DD,"=SI")</f>
        <v>0</v>
      </c>
      <c r="Y236" s="945"/>
      <c r="Z236" s="945"/>
      <c r="AA236" s="945"/>
      <c r="AB236" s="224"/>
      <c r="AC236" s="52"/>
      <c r="AD236" s="227"/>
      <c r="AE236" s="944">
        <f>SUMIFS(COMPRAS!BI:BI,COMPRAS!BF:BF,V236,COMPRAS!CS:CS,"=01-REGIMEN GENERAL",COMPRAS!CX:CX,"&lt;&gt;SI",COMPRAS!DD:DD,"=SI")+SUMIFS(COMPRAS!BR:BR,COMPRAS!BO:BO,V236,COMPRAS!CS:CS,"=01-REGIMEN GENERAL",COMPRAS!CX:CX,"&lt;&gt;SI",COMPRAS!DD:DD,"=SI")+SUMIFS(COMPRAS!CA:CA,COMPRAS!BX:BX,V236,COMPRAS!CS:CS,"=01-REGIMEN GENERAL",COMPRAS!CX:CX,"&lt;&gt;SI",COMPRAS!DD:DD,"=SI")</f>
        <v>0</v>
      </c>
      <c r="AF236" s="945"/>
      <c r="AG236" s="945"/>
      <c r="AH236" s="945"/>
      <c r="AI236" s="206"/>
    </row>
    <row r="237" spans="1:35" ht="21" hidden="1" customHeight="1" outlineLevel="2" x14ac:dyDescent="0.35">
      <c r="A237" s="979"/>
      <c r="B237" s="980"/>
      <c r="C237" s="981"/>
      <c r="D237" s="15"/>
      <c r="E237" s="15"/>
      <c r="F237" s="15"/>
      <c r="G237" s="15"/>
      <c r="H237" s="15"/>
      <c r="I237" s="15"/>
      <c r="J237" s="15"/>
      <c r="K237" s="15"/>
      <c r="L237" s="15"/>
      <c r="M237" s="15"/>
      <c r="N237" s="15"/>
      <c r="O237" s="15"/>
      <c r="P237" s="15"/>
      <c r="Q237" s="15"/>
      <c r="R237" s="15"/>
      <c r="S237" s="15"/>
      <c r="T237" s="15"/>
      <c r="U237" s="229" t="s">
        <v>178</v>
      </c>
      <c r="V237" s="272">
        <v>503</v>
      </c>
      <c r="W237" s="225"/>
      <c r="X237" s="944">
        <f>SUMIFS(COMPRAS!BG:BG,COMPRAS!BF:BF,V237,COMPRAS!CS:CS,"=01-REGIMEN GENERAL",COMPRAS!CX:CX,"&lt;&gt;SI",COMPRAS!DD:DD,"=SI")+SUMIFS(COMPRAS!BP:BP,COMPRAS!BO:BO,V237,COMPRAS!CS:CS,"=01-REGIMEN GENERAL",COMPRAS!CX:CX,"&lt;&gt;SI",COMPRAS!DD:DD,"=SI")+SUMIFS(COMPRAS!BY:BY,COMPRAS!BX:BX,V237,COMPRAS!CS:CS,"=01-REGIMEN GENERAL",COMPRAS!CX:CX,"&lt;&gt;SI",COMPRAS!DD:DD,"=SI")</f>
        <v>0</v>
      </c>
      <c r="Y237" s="945"/>
      <c r="Z237" s="945"/>
      <c r="AA237" s="945"/>
      <c r="AB237" s="224"/>
      <c r="AC237" s="52"/>
      <c r="AD237" s="227"/>
      <c r="AE237" s="944">
        <f>SUMIFS(COMPRAS!BI:BI,COMPRAS!BF:BF,V237,COMPRAS!CS:CS,"=01-REGIMEN GENERAL",COMPRAS!CX:CX,"&lt;&gt;SI",COMPRAS!DD:DD,"=SI")+SUMIFS(COMPRAS!BR:BR,COMPRAS!BO:BO,V237,COMPRAS!CS:CS,"=01-REGIMEN GENERAL",COMPRAS!CX:CX,"&lt;&gt;SI",COMPRAS!DD:DD,"=SI")+SUMIFS(COMPRAS!CA:CA,COMPRAS!BX:BX,V237,COMPRAS!CS:CS,"=01-REGIMEN GENERAL",COMPRAS!CX:CX,"&lt;&gt;SI",COMPRAS!DD:DD,"=SI")</f>
        <v>0</v>
      </c>
      <c r="AF237" s="945"/>
      <c r="AG237" s="945"/>
      <c r="AH237" s="945"/>
      <c r="AI237" s="206"/>
    </row>
    <row r="238" spans="1:35" ht="21" hidden="1" customHeight="1" outlineLevel="2" x14ac:dyDescent="0.35">
      <c r="A238" s="979"/>
      <c r="B238" s="980"/>
      <c r="C238" s="981"/>
      <c r="D238" s="15"/>
      <c r="E238" s="15"/>
      <c r="F238" s="15"/>
      <c r="G238" s="15"/>
      <c r="H238" s="15"/>
      <c r="I238" s="15"/>
      <c r="J238" s="15"/>
      <c r="K238" s="15"/>
      <c r="L238" s="15"/>
      <c r="M238" s="15"/>
      <c r="N238" s="15"/>
      <c r="O238" s="15"/>
      <c r="P238" s="15"/>
      <c r="Q238" s="15"/>
      <c r="R238" s="15"/>
      <c r="S238" s="15"/>
      <c r="T238" s="15"/>
      <c r="U238" s="229" t="s">
        <v>189</v>
      </c>
      <c r="V238" s="272">
        <v>505</v>
      </c>
      <c r="W238" s="225"/>
      <c r="X238" s="944">
        <f>SUMIFS(COMPRAS!BG:BG,COMPRAS!BF:BF,V238,COMPRAS!CS:CS,"=01-REGIMEN GENERAL",COMPRAS!CX:CX,"&lt;&gt;SI",COMPRAS!DD:DD,"=SI")+SUMIFS(COMPRAS!BP:BP,COMPRAS!BO:BO,V238,COMPRAS!CS:CS,"=01-REGIMEN GENERAL",COMPRAS!CX:CX,"&lt;&gt;SI",COMPRAS!DD:DD,"=SI")+SUMIFS(COMPRAS!BY:BY,COMPRAS!BX:BX,V238,COMPRAS!CS:CS,"=01-REGIMEN GENERAL",COMPRAS!CX:CX,"&lt;&gt;SI",COMPRAS!DD:DD,"=SI")</f>
        <v>0</v>
      </c>
      <c r="Y238" s="945"/>
      <c r="Z238" s="945"/>
      <c r="AA238" s="945"/>
      <c r="AB238" s="224"/>
      <c r="AC238" s="52"/>
      <c r="AD238" s="227"/>
      <c r="AE238" s="944">
        <f>SUMIFS(COMPRAS!BI:BI,COMPRAS!BF:BF,V238,COMPRAS!CS:CS,"=01-REGIMEN GENERAL",COMPRAS!CX:CX,"&lt;&gt;SI",COMPRAS!DD:DD,"=SI")+SUMIFS(COMPRAS!BR:BR,COMPRAS!BO:BO,V238,COMPRAS!CS:CS,"=01-REGIMEN GENERAL",COMPRAS!CX:CX,"&lt;&gt;SI",COMPRAS!DD:DD,"=SI")+SUMIFS(COMPRAS!CA:CA,COMPRAS!BX:BX,V238,COMPRAS!CS:CS,"=01-REGIMEN GENERAL",COMPRAS!CX:CX,"&lt;&gt;SI",COMPRAS!DD:DD,"=SI")</f>
        <v>0</v>
      </c>
      <c r="AF238" s="945"/>
      <c r="AG238" s="945"/>
      <c r="AH238" s="945"/>
      <c r="AI238" s="206"/>
    </row>
    <row r="239" spans="1:35" ht="21" hidden="1" customHeight="1" outlineLevel="2" x14ac:dyDescent="0.35">
      <c r="A239" s="979"/>
      <c r="B239" s="980"/>
      <c r="C239" s="981"/>
      <c r="D239" s="15"/>
      <c r="E239" s="15"/>
      <c r="F239" s="15"/>
      <c r="G239" s="15"/>
      <c r="H239" s="15"/>
      <c r="I239" s="15"/>
      <c r="J239" s="15"/>
      <c r="K239" s="15"/>
      <c r="L239" s="15"/>
      <c r="M239" s="15"/>
      <c r="N239" s="15"/>
      <c r="O239" s="15"/>
      <c r="P239" s="15"/>
      <c r="Q239" s="15"/>
      <c r="R239" s="15"/>
      <c r="S239" s="15"/>
      <c r="T239" s="15"/>
      <c r="U239" s="229" t="s">
        <v>202</v>
      </c>
      <c r="V239" s="272">
        <v>509</v>
      </c>
      <c r="W239" s="225"/>
      <c r="X239" s="944">
        <f>SUMIFS(COMPRAS!BG:BG,COMPRAS!BF:BF,V239,COMPRAS!CS:CS,"=01-REGIMEN GENERAL",COMPRAS!CX:CX,"&lt;&gt;SI",COMPRAS!DD:DD,"=SI")+SUMIFS(COMPRAS!BP:BP,COMPRAS!BO:BO,V239,COMPRAS!CS:CS,"=01-REGIMEN GENERAL",COMPRAS!CX:CX,"&lt;&gt;SI",COMPRAS!DD:DD,"=SI")+SUMIFS(COMPRAS!BY:BY,COMPRAS!BX:BX,V239,COMPRAS!CS:CS,"=01-REGIMEN GENERAL",COMPRAS!CX:CX,"&lt;&gt;SI",COMPRAS!DD:DD,"=SI")</f>
        <v>0</v>
      </c>
      <c r="Y239" s="945"/>
      <c r="Z239" s="945"/>
      <c r="AA239" s="945"/>
      <c r="AB239" s="224"/>
      <c r="AC239" s="52"/>
      <c r="AD239" s="227"/>
      <c r="AE239" s="944">
        <f>SUMIFS(COMPRAS!BI:BI,COMPRAS!BF:BF,V239,COMPRAS!CS:CS,"=01-REGIMEN GENERAL",COMPRAS!CX:CX,"&lt;&gt;SI",COMPRAS!DD:DD,"=SI")+SUMIFS(COMPRAS!BR:BR,COMPRAS!BO:BO,V239,COMPRAS!CS:CS,"=01-REGIMEN GENERAL",COMPRAS!CX:CX,"&lt;&gt;SI",COMPRAS!DD:DD,"=SI")+SUMIFS(COMPRAS!CA:CA,COMPRAS!BX:BX,V239,COMPRAS!CS:CS,"=01-REGIMEN GENERAL",COMPRAS!CX:CX,"&lt;&gt;SI",COMPRAS!DD:DD,"=SI")</f>
        <v>0</v>
      </c>
      <c r="AF239" s="945"/>
      <c r="AG239" s="945"/>
      <c r="AH239" s="945"/>
      <c r="AI239" s="206"/>
    </row>
    <row r="240" spans="1:35" ht="21" hidden="1" customHeight="1" outlineLevel="2" x14ac:dyDescent="0.35">
      <c r="A240" s="979"/>
      <c r="B240" s="980"/>
      <c r="C240" s="981"/>
      <c r="D240" s="15"/>
      <c r="E240" s="15"/>
      <c r="F240" s="15"/>
      <c r="G240" s="15"/>
      <c r="H240" s="15"/>
      <c r="I240" s="15"/>
      <c r="J240" s="15"/>
      <c r="K240" s="15"/>
      <c r="L240" s="15"/>
      <c r="M240" s="15"/>
      <c r="N240" s="15"/>
      <c r="O240" s="15"/>
      <c r="P240" s="15"/>
      <c r="Q240" s="15"/>
      <c r="R240" s="15"/>
      <c r="S240" s="15"/>
      <c r="T240" s="15"/>
      <c r="U240" s="229" t="s">
        <v>205</v>
      </c>
      <c r="V240" s="272">
        <v>510</v>
      </c>
      <c r="W240" s="225"/>
      <c r="X240" s="944">
        <f>SUMIFS(COMPRAS!BG:BG,COMPRAS!BF:BF,V240,COMPRAS!CS:CS,"=01-REGIMEN GENERAL",COMPRAS!CX:CX,"&lt;&gt;SI",COMPRAS!DD:DD,"=SI")+SUMIFS(COMPRAS!BP:BP,COMPRAS!BO:BO,V240,COMPRAS!CS:CS,"=01-REGIMEN GENERAL",COMPRAS!CX:CX,"&lt;&gt;SI",COMPRAS!DD:DD,"=SI")+SUMIFS(COMPRAS!BY:BY,COMPRAS!BX:BX,V240,COMPRAS!CS:CS,"=01-REGIMEN GENERAL",COMPRAS!CX:CX,"&lt;&gt;SI",COMPRAS!DD:DD,"=SI")</f>
        <v>0</v>
      </c>
      <c r="Y240" s="945"/>
      <c r="Z240" s="945"/>
      <c r="AA240" s="945"/>
      <c r="AB240" s="224"/>
      <c r="AC240" s="52"/>
      <c r="AD240" s="227"/>
      <c r="AE240" s="944">
        <f>SUMIFS(COMPRAS!BI:BI,COMPRAS!BF:BF,V240,COMPRAS!CS:CS,"=01-REGIMEN GENERAL",COMPRAS!CX:CX,"&lt;&gt;SI",COMPRAS!DD:DD,"=SI")+SUMIFS(COMPRAS!BR:BR,COMPRAS!BO:BO,V240,COMPRAS!CS:CS,"=01-REGIMEN GENERAL",COMPRAS!CX:CX,"&lt;&gt;SI",COMPRAS!DD:DD,"=SI")+SUMIFS(COMPRAS!CA:CA,COMPRAS!BX:BX,V240,COMPRAS!CS:CS,"=01-REGIMEN GENERAL",COMPRAS!CX:CX,"&lt;&gt;SI",COMPRAS!DD:DD,"=SI")</f>
        <v>0</v>
      </c>
      <c r="AF240" s="945"/>
      <c r="AG240" s="945"/>
      <c r="AH240" s="945"/>
      <c r="AI240" s="206"/>
    </row>
    <row r="241" spans="1:35" ht="21" hidden="1" customHeight="1" outlineLevel="2" x14ac:dyDescent="0.35">
      <c r="A241" s="979"/>
      <c r="B241" s="980"/>
      <c r="C241" s="981"/>
      <c r="D241" s="15"/>
      <c r="E241" s="15"/>
      <c r="F241" s="15"/>
      <c r="G241" s="15"/>
      <c r="H241" s="15"/>
      <c r="I241" s="15"/>
      <c r="J241" s="15"/>
      <c r="K241" s="15"/>
      <c r="L241" s="15"/>
      <c r="M241" s="15"/>
      <c r="N241" s="15"/>
      <c r="O241" s="15"/>
      <c r="P241" s="15"/>
      <c r="Q241" s="15"/>
      <c r="R241" s="15"/>
      <c r="S241" s="15"/>
      <c r="T241" s="15"/>
      <c r="U241" s="229" t="s">
        <v>206</v>
      </c>
      <c r="V241" s="272">
        <v>511</v>
      </c>
      <c r="W241" s="225"/>
      <c r="X241" s="944">
        <f>SUMIFS(COMPRAS!BG:BG,COMPRAS!BF:BF,V241,COMPRAS!CS:CS,"=01-REGIMEN GENERAL",COMPRAS!CX:CX,"&lt;&gt;SI",COMPRAS!DD:DD,"=SI")+SUMIFS(COMPRAS!BP:BP,COMPRAS!BO:BO,V241,COMPRAS!CS:CS,"=01-REGIMEN GENERAL",COMPRAS!CX:CX,"&lt;&gt;SI",COMPRAS!DD:DD,"=SI")+SUMIFS(COMPRAS!BY:BY,COMPRAS!BX:BX,V241,COMPRAS!CS:CS,"=01-REGIMEN GENERAL",COMPRAS!CX:CX,"&lt;&gt;SI",COMPRAS!DD:DD,"=SI")</f>
        <v>0</v>
      </c>
      <c r="Y241" s="945"/>
      <c r="Z241" s="945"/>
      <c r="AA241" s="945"/>
      <c r="AB241" s="224"/>
      <c r="AC241" s="52"/>
      <c r="AD241" s="227"/>
      <c r="AE241" s="944">
        <f>SUMIFS(COMPRAS!BI:BI,COMPRAS!BF:BF,V241,COMPRAS!CS:CS,"=01-REGIMEN GENERAL",COMPRAS!CX:CX,"&lt;&gt;SI",COMPRAS!DD:DD,"=SI")+SUMIFS(COMPRAS!BR:BR,COMPRAS!BO:BO,V241,COMPRAS!CS:CS,"=01-REGIMEN GENERAL",COMPRAS!CX:CX,"&lt;&gt;SI",COMPRAS!DD:DD,"=SI")+SUMIFS(COMPRAS!CA:CA,COMPRAS!BX:BX,V241,COMPRAS!CS:CS,"=01-REGIMEN GENERAL",COMPRAS!CX:CX,"&lt;&gt;SI",COMPRAS!DD:DD,"=SI")</f>
        <v>0</v>
      </c>
      <c r="AF241" s="945"/>
      <c r="AG241" s="945"/>
      <c r="AH241" s="945"/>
      <c r="AI241" s="206"/>
    </row>
    <row r="242" spans="1:35" ht="21" hidden="1" customHeight="1" outlineLevel="2" x14ac:dyDescent="0.35">
      <c r="A242" s="979"/>
      <c r="B242" s="980"/>
      <c r="C242" s="981"/>
      <c r="D242" s="15"/>
      <c r="E242" s="15"/>
      <c r="F242" s="15"/>
      <c r="G242" s="15"/>
      <c r="H242" s="15"/>
      <c r="I242" s="15"/>
      <c r="J242" s="15"/>
      <c r="K242" s="15"/>
      <c r="L242" s="15"/>
      <c r="M242" s="15"/>
      <c r="N242" s="15"/>
      <c r="O242" s="15"/>
      <c r="P242" s="15"/>
      <c r="Q242" s="15"/>
      <c r="R242" s="15"/>
      <c r="S242" s="15"/>
      <c r="T242" s="15"/>
      <c r="U242" s="229" t="s">
        <v>207</v>
      </c>
      <c r="V242" s="272">
        <v>512</v>
      </c>
      <c r="W242" s="225"/>
      <c r="X242" s="944">
        <f>SUMIFS(COMPRAS!BG:BG,COMPRAS!BF:BF,V242,COMPRAS!CS:CS,"=01-REGIMEN GENERAL",COMPRAS!CX:CX,"&lt;&gt;SI",COMPRAS!DD:DD,"=SI")+SUMIFS(COMPRAS!BP:BP,COMPRAS!BO:BO,V242,COMPRAS!CS:CS,"=01-REGIMEN GENERAL",COMPRAS!CX:CX,"&lt;&gt;SI",COMPRAS!DD:DD,"=SI")+SUMIFS(COMPRAS!BY:BY,COMPRAS!BX:BX,V242,COMPRAS!CS:CS,"=01-REGIMEN GENERAL",COMPRAS!CX:CX,"&lt;&gt;SI",COMPRAS!DD:DD,"=SI")</f>
        <v>0</v>
      </c>
      <c r="Y242" s="945"/>
      <c r="Z242" s="945"/>
      <c r="AA242" s="945"/>
      <c r="AB242" s="224"/>
      <c r="AC242" s="52"/>
      <c r="AD242" s="227"/>
      <c r="AE242" s="944">
        <f>SUMIFS(COMPRAS!BI:BI,COMPRAS!BF:BF,V242,COMPRAS!CS:CS,"=01-REGIMEN GENERAL",COMPRAS!CX:CX,"&lt;&gt;SI",COMPRAS!DD:DD,"=SI")+SUMIFS(COMPRAS!BR:BR,COMPRAS!BO:BO,V242,COMPRAS!CS:CS,"=01-REGIMEN GENERAL",COMPRAS!CX:CX,"&lt;&gt;SI",COMPRAS!DD:DD,"=SI")+SUMIFS(COMPRAS!CA:CA,COMPRAS!BX:BX,V242,COMPRAS!CS:CS,"=01-REGIMEN GENERAL",COMPRAS!CX:CX,"&lt;&gt;SI",COMPRAS!DD:DD,"=SI")</f>
        <v>0</v>
      </c>
      <c r="AF242" s="945"/>
      <c r="AG242" s="945"/>
      <c r="AH242" s="945"/>
      <c r="AI242" s="206"/>
    </row>
    <row r="243" spans="1:35" ht="21" hidden="1" customHeight="1" outlineLevel="2" x14ac:dyDescent="0.35">
      <c r="A243" s="979"/>
      <c r="B243" s="980"/>
      <c r="C243" s="981"/>
      <c r="D243" s="15"/>
      <c r="E243" s="15"/>
      <c r="F243" s="15"/>
      <c r="G243" s="15"/>
      <c r="H243" s="15"/>
      <c r="I243" s="15"/>
      <c r="J243" s="15"/>
      <c r="K243" s="15"/>
      <c r="L243" s="15"/>
      <c r="M243" s="15"/>
      <c r="N243" s="15"/>
      <c r="O243" s="15"/>
      <c r="P243" s="15"/>
      <c r="Q243" s="15"/>
      <c r="R243" s="15"/>
      <c r="S243" s="15"/>
      <c r="T243" s="15"/>
      <c r="U243" s="229" t="s">
        <v>208</v>
      </c>
      <c r="V243" s="272">
        <v>513</v>
      </c>
      <c r="W243" s="225"/>
      <c r="X243" s="944">
        <f>SUMIFS(COMPRAS!BG:BG,COMPRAS!BF:BF,V243,COMPRAS!CS:CS,"=01-REGIMEN GENERAL",COMPRAS!CX:CX,"&lt;&gt;SI",COMPRAS!DD:DD,"=SI")+SUMIFS(COMPRAS!BP:BP,COMPRAS!BO:BO,V243,COMPRAS!CS:CS,"=01-REGIMEN GENERAL",COMPRAS!CX:CX,"&lt;&gt;SI",COMPRAS!DD:DD,"=SI")+SUMIFS(COMPRAS!BY:BY,COMPRAS!BX:BX,V243,COMPRAS!CS:CS,"=01-REGIMEN GENERAL",COMPRAS!CX:CX,"&lt;&gt;SI",COMPRAS!DD:DD,"=SI")</f>
        <v>0</v>
      </c>
      <c r="Y243" s="945"/>
      <c r="Z243" s="945"/>
      <c r="AA243" s="945"/>
      <c r="AB243" s="224"/>
      <c r="AC243" s="52"/>
      <c r="AD243" s="227"/>
      <c r="AE243" s="944">
        <f>SUMIFS(COMPRAS!BI:BI,COMPRAS!BF:BF,V243,COMPRAS!CS:CS,"=01-REGIMEN GENERAL",COMPRAS!CX:CX,"&lt;&gt;SI",COMPRAS!DD:DD,"=SI")+SUMIFS(COMPRAS!BR:BR,COMPRAS!BO:BO,V243,COMPRAS!CS:CS,"=01-REGIMEN GENERAL",COMPRAS!CX:CX,"&lt;&gt;SI",COMPRAS!DD:DD,"=SI")+SUMIFS(COMPRAS!CA:CA,COMPRAS!BX:BX,V243,COMPRAS!CS:CS,"=01-REGIMEN GENERAL",COMPRAS!CX:CX,"&lt;&gt;SI",COMPRAS!DD:DD,"=SI")</f>
        <v>0</v>
      </c>
      <c r="AF243" s="945"/>
      <c r="AG243" s="945"/>
      <c r="AH243" s="945"/>
      <c r="AI243" s="206"/>
    </row>
    <row r="244" spans="1:35" ht="21" hidden="1" customHeight="1" outlineLevel="2" x14ac:dyDescent="0.35">
      <c r="A244" s="979"/>
      <c r="B244" s="980"/>
      <c r="C244" s="981"/>
      <c r="D244" s="15"/>
      <c r="E244" s="15"/>
      <c r="F244" s="15"/>
      <c r="G244" s="15"/>
      <c r="H244" s="15"/>
      <c r="I244" s="15"/>
      <c r="J244" s="15"/>
      <c r="K244" s="15"/>
      <c r="L244" s="15"/>
      <c r="M244" s="15"/>
      <c r="N244" s="15"/>
      <c r="O244" s="15"/>
      <c r="P244" s="15"/>
      <c r="Q244" s="15"/>
      <c r="R244" s="15"/>
      <c r="S244" s="15"/>
      <c r="T244" s="15"/>
      <c r="U244" s="229" t="s">
        <v>211</v>
      </c>
      <c r="V244" s="272">
        <v>514</v>
      </c>
      <c r="W244" s="225"/>
      <c r="X244" s="944">
        <f>SUMIFS(COMPRAS!BG:BG,COMPRAS!BF:BF,V244,COMPRAS!CS:CS,"=01-REGIMEN GENERAL",COMPRAS!CX:CX,"&lt;&gt;SI",COMPRAS!DD:DD,"=SI")+SUMIFS(COMPRAS!BP:BP,COMPRAS!BO:BO,V244,COMPRAS!CS:CS,"=01-REGIMEN GENERAL",COMPRAS!CX:CX,"&lt;&gt;SI",COMPRAS!DD:DD,"=SI")+SUMIFS(COMPRAS!BY:BY,COMPRAS!BX:BX,V244,COMPRAS!CS:CS,"=01-REGIMEN GENERAL",COMPRAS!CX:CX,"&lt;&gt;SI",COMPRAS!DD:DD,"=SI")</f>
        <v>0</v>
      </c>
      <c r="Y244" s="945"/>
      <c r="Z244" s="945"/>
      <c r="AA244" s="945"/>
      <c r="AB244" s="224"/>
      <c r="AC244" s="52"/>
      <c r="AD244" s="227"/>
      <c r="AE244" s="944">
        <f>SUMIFS(COMPRAS!BI:BI,COMPRAS!BF:BF,V244,COMPRAS!CS:CS,"=01-REGIMEN GENERAL",COMPRAS!CX:CX,"&lt;&gt;SI",COMPRAS!DD:DD,"=SI")+SUMIFS(COMPRAS!BR:BR,COMPRAS!BO:BO,V244,COMPRAS!CS:CS,"=01-REGIMEN GENERAL",COMPRAS!CX:CX,"&lt;&gt;SI",COMPRAS!DD:DD,"=SI")+SUMIFS(COMPRAS!CA:CA,COMPRAS!BX:BX,V244,COMPRAS!CS:CS,"=01-REGIMEN GENERAL",COMPRAS!CX:CX,"&lt;&gt;SI",COMPRAS!DD:DD,"=SI")</f>
        <v>0</v>
      </c>
      <c r="AF244" s="945"/>
      <c r="AG244" s="945"/>
      <c r="AH244" s="945"/>
      <c r="AI244" s="206"/>
    </row>
    <row r="245" spans="1:35" ht="21" hidden="1" customHeight="1" outlineLevel="2" x14ac:dyDescent="0.35">
      <c r="A245" s="979"/>
      <c r="B245" s="980"/>
      <c r="C245" s="981"/>
      <c r="D245" s="15"/>
      <c r="E245" s="15"/>
      <c r="F245" s="15"/>
      <c r="G245" s="15"/>
      <c r="H245" s="15"/>
      <c r="I245" s="15"/>
      <c r="J245" s="15"/>
      <c r="K245" s="15"/>
      <c r="L245" s="15"/>
      <c r="M245" s="15"/>
      <c r="N245" s="15"/>
      <c r="O245" s="15"/>
      <c r="P245" s="15"/>
      <c r="Q245" s="15"/>
      <c r="R245" s="15"/>
      <c r="S245" s="15"/>
      <c r="T245" s="15"/>
      <c r="U245" s="229" t="s">
        <v>212</v>
      </c>
      <c r="V245" s="272">
        <v>515</v>
      </c>
      <c r="W245" s="225"/>
      <c r="X245" s="944">
        <f>SUMIFS(COMPRAS!BG:BG,COMPRAS!BF:BF,V245,COMPRAS!CS:CS,"=01-REGIMEN GENERAL",COMPRAS!CX:CX,"&lt;&gt;SI",COMPRAS!DD:DD,"=SI")+SUMIFS(COMPRAS!BP:BP,COMPRAS!BO:BO,V245,COMPRAS!CS:CS,"=01-REGIMEN GENERAL",COMPRAS!CX:CX,"&lt;&gt;SI",COMPRAS!DD:DD,"=SI")+SUMIFS(COMPRAS!BY:BY,COMPRAS!BX:BX,V245,COMPRAS!CS:CS,"=01-REGIMEN GENERAL",COMPRAS!CX:CX,"&lt;&gt;SI",COMPRAS!DD:DD,"=SI")</f>
        <v>0</v>
      </c>
      <c r="Y245" s="945"/>
      <c r="Z245" s="945"/>
      <c r="AA245" s="945"/>
      <c r="AB245" s="224"/>
      <c r="AC245" s="52"/>
      <c r="AD245" s="227"/>
      <c r="AE245" s="944">
        <f>SUMIFS(COMPRAS!BI:BI,COMPRAS!BF:BF,V245,COMPRAS!CS:CS,"=01-REGIMEN GENERAL",COMPRAS!CX:CX,"&lt;&gt;SI",COMPRAS!DD:DD,"=SI")+SUMIFS(COMPRAS!BR:BR,COMPRAS!BO:BO,V245,COMPRAS!CS:CS,"=01-REGIMEN GENERAL",COMPRAS!CX:CX,"&lt;&gt;SI",COMPRAS!DD:DD,"=SI")+SUMIFS(COMPRAS!CA:CA,COMPRAS!BX:BX,V245,COMPRAS!CS:CS,"=01-REGIMEN GENERAL",COMPRAS!CX:CX,"&lt;&gt;SI",COMPRAS!DD:DD,"=SI")</f>
        <v>0</v>
      </c>
      <c r="AF245" s="945"/>
      <c r="AG245" s="945"/>
      <c r="AH245" s="945"/>
      <c r="AI245" s="206"/>
    </row>
    <row r="246" spans="1:35" ht="21" hidden="1" customHeight="1" outlineLevel="2" x14ac:dyDescent="0.35">
      <c r="A246" s="979"/>
      <c r="B246" s="980"/>
      <c r="C246" s="981"/>
      <c r="D246" s="15"/>
      <c r="E246" s="15"/>
      <c r="F246" s="15"/>
      <c r="G246" s="15"/>
      <c r="H246" s="15"/>
      <c r="I246" s="15"/>
      <c r="J246" s="15"/>
      <c r="K246" s="15"/>
      <c r="L246" s="15"/>
      <c r="M246" s="15"/>
      <c r="N246" s="15"/>
      <c r="O246" s="15"/>
      <c r="P246" s="15"/>
      <c r="Q246" s="15"/>
      <c r="R246" s="15"/>
      <c r="S246" s="15"/>
      <c r="T246" s="15"/>
      <c r="U246" s="229" t="s">
        <v>213</v>
      </c>
      <c r="V246" s="272">
        <v>516</v>
      </c>
      <c r="W246" s="225"/>
      <c r="X246" s="944">
        <f>SUMIFS(COMPRAS!BG:BG,COMPRAS!BF:BF,V246,COMPRAS!CS:CS,"=01-REGIMEN GENERAL",COMPRAS!CX:CX,"&lt;&gt;SI",COMPRAS!DD:DD,"=SI")+SUMIFS(COMPRAS!BP:BP,COMPRAS!BO:BO,V246,COMPRAS!CS:CS,"=01-REGIMEN GENERAL",COMPRAS!CX:CX,"&lt;&gt;SI",COMPRAS!DD:DD,"=SI")+SUMIFS(COMPRAS!BY:BY,COMPRAS!BX:BX,V246,COMPRAS!CS:CS,"=01-REGIMEN GENERAL",COMPRAS!CX:CX,"&lt;&gt;SI",COMPRAS!DD:DD,"=SI")</f>
        <v>0</v>
      </c>
      <c r="Y246" s="945"/>
      <c r="Z246" s="945"/>
      <c r="AA246" s="945"/>
      <c r="AB246" s="224"/>
      <c r="AC246" s="52"/>
      <c r="AD246" s="227"/>
      <c r="AE246" s="944">
        <f>SUMIFS(COMPRAS!BI:BI,COMPRAS!BF:BF,V246,COMPRAS!CS:CS,"=01-REGIMEN GENERAL",COMPRAS!CX:CX,"&lt;&gt;SI",COMPRAS!DD:DD,"=SI")+SUMIFS(COMPRAS!BR:BR,COMPRAS!BO:BO,V246,COMPRAS!CS:CS,"=01-REGIMEN GENERAL",COMPRAS!CX:CX,"&lt;&gt;SI",COMPRAS!DD:DD,"=SI")+SUMIFS(COMPRAS!CA:CA,COMPRAS!BX:BX,V246,COMPRAS!CS:CS,"=01-REGIMEN GENERAL",COMPRAS!CX:CX,"&lt;&gt;SI",COMPRAS!DD:DD,"=SI")</f>
        <v>0</v>
      </c>
      <c r="AF246" s="945"/>
      <c r="AG246" s="945"/>
      <c r="AH246" s="945"/>
      <c r="AI246" s="206"/>
    </row>
    <row r="247" spans="1:35" ht="21" hidden="1" customHeight="1" outlineLevel="2" x14ac:dyDescent="0.35">
      <c r="A247" s="979"/>
      <c r="B247" s="980"/>
      <c r="C247" s="981"/>
      <c r="D247" s="15"/>
      <c r="E247" s="15"/>
      <c r="F247" s="15"/>
      <c r="G247" s="15"/>
      <c r="H247" s="15"/>
      <c r="I247" s="15"/>
      <c r="J247" s="15"/>
      <c r="K247" s="15"/>
      <c r="L247" s="15"/>
      <c r="M247" s="15"/>
      <c r="N247" s="15"/>
      <c r="O247" s="15"/>
      <c r="P247" s="15"/>
      <c r="Q247" s="15"/>
      <c r="R247" s="15"/>
      <c r="S247" s="15"/>
      <c r="T247" s="15"/>
      <c r="U247" s="229" t="s">
        <v>214</v>
      </c>
      <c r="V247" s="272">
        <v>517</v>
      </c>
      <c r="W247" s="225"/>
      <c r="X247" s="944">
        <f>SUMIFS(COMPRAS!BG:BG,COMPRAS!BF:BF,V247,COMPRAS!CS:CS,"=01-REGIMEN GENERAL",COMPRAS!CX:CX,"&lt;&gt;SI",COMPRAS!DD:DD,"=SI")+SUMIFS(COMPRAS!BP:BP,COMPRAS!BO:BO,V247,COMPRAS!CS:CS,"=01-REGIMEN GENERAL",COMPRAS!CX:CX,"&lt;&gt;SI",COMPRAS!DD:DD,"=SI")+SUMIFS(COMPRAS!BY:BY,COMPRAS!BX:BX,V247,COMPRAS!CS:CS,"=01-REGIMEN GENERAL",COMPRAS!CX:CX,"&lt;&gt;SI",COMPRAS!DD:DD,"=SI")</f>
        <v>0</v>
      </c>
      <c r="Y247" s="945"/>
      <c r="Z247" s="945"/>
      <c r="AA247" s="945"/>
      <c r="AB247" s="224"/>
      <c r="AC247" s="52"/>
      <c r="AD247" s="227"/>
      <c r="AE247" s="944">
        <f>SUMIFS(COMPRAS!BI:BI,COMPRAS!BF:BF,V247,COMPRAS!CS:CS,"=01-REGIMEN GENERAL",COMPRAS!CX:CX,"&lt;&gt;SI",COMPRAS!DD:DD,"=SI")+SUMIFS(COMPRAS!BR:BR,COMPRAS!BO:BO,V247,COMPRAS!CS:CS,"=01-REGIMEN GENERAL",COMPRAS!CX:CX,"&lt;&gt;SI",COMPRAS!DD:DD,"=SI")+SUMIFS(COMPRAS!CA:CA,COMPRAS!BX:BX,V247,COMPRAS!CS:CS,"=01-REGIMEN GENERAL",COMPRAS!CX:CX,"&lt;&gt;SI",COMPRAS!DD:DD,"=SI")</f>
        <v>0</v>
      </c>
      <c r="AF247" s="945"/>
      <c r="AG247" s="945"/>
      <c r="AH247" s="945"/>
      <c r="AI247" s="206"/>
    </row>
    <row r="248" spans="1:35" ht="21" hidden="1" customHeight="1" outlineLevel="2" x14ac:dyDescent="0.35">
      <c r="A248" s="979"/>
      <c r="B248" s="980"/>
      <c r="C248" s="981"/>
      <c r="D248" s="15"/>
      <c r="E248" s="15"/>
      <c r="F248" s="15"/>
      <c r="G248" s="15"/>
      <c r="H248" s="15"/>
      <c r="I248" s="15"/>
      <c r="J248" s="15"/>
      <c r="K248" s="15"/>
      <c r="L248" s="15"/>
      <c r="M248" s="15"/>
      <c r="N248" s="15"/>
      <c r="O248" s="15"/>
      <c r="P248" s="15"/>
      <c r="Q248" s="15"/>
      <c r="R248" s="15"/>
      <c r="S248" s="15"/>
      <c r="T248" s="15"/>
      <c r="U248" s="229" t="s">
        <v>215</v>
      </c>
      <c r="V248" s="272">
        <v>518</v>
      </c>
      <c r="W248" s="225"/>
      <c r="X248" s="944">
        <f>SUMIFS(COMPRAS!BG:BG,COMPRAS!BF:BF,V248,COMPRAS!CS:CS,"=01-REGIMEN GENERAL",COMPRAS!CX:CX,"&lt;&gt;SI",COMPRAS!DD:DD,"=SI")+SUMIFS(COMPRAS!BP:BP,COMPRAS!BO:BO,V248,COMPRAS!CS:CS,"=01-REGIMEN GENERAL",COMPRAS!CX:CX,"&lt;&gt;SI",COMPRAS!DD:DD,"=SI")+SUMIFS(COMPRAS!BY:BY,COMPRAS!BX:BX,V248,COMPRAS!CS:CS,"=01-REGIMEN GENERAL",COMPRAS!CX:CX,"&lt;&gt;SI",COMPRAS!DD:DD,"=SI")</f>
        <v>0</v>
      </c>
      <c r="Y248" s="945"/>
      <c r="Z248" s="945"/>
      <c r="AA248" s="945"/>
      <c r="AB248" s="224"/>
      <c r="AC248" s="52"/>
      <c r="AD248" s="227"/>
      <c r="AE248" s="944">
        <f>SUMIFS(COMPRAS!BI:BI,COMPRAS!BF:BF,V248,COMPRAS!CS:CS,"=01-REGIMEN GENERAL",COMPRAS!CX:CX,"&lt;&gt;SI",COMPRAS!DD:DD,"=SI")+SUMIFS(COMPRAS!BR:BR,COMPRAS!BO:BO,V248,COMPRAS!CS:CS,"=01-REGIMEN GENERAL",COMPRAS!CX:CX,"&lt;&gt;SI",COMPRAS!DD:DD,"=SI")+SUMIFS(COMPRAS!CA:CA,COMPRAS!BX:BX,V248,COMPRAS!CS:CS,"=01-REGIMEN GENERAL",COMPRAS!CX:CX,"&lt;&gt;SI",COMPRAS!DD:DD,"=SI")</f>
        <v>0</v>
      </c>
      <c r="AF248" s="945"/>
      <c r="AG248" s="945"/>
      <c r="AH248" s="945"/>
      <c r="AI248" s="206"/>
    </row>
    <row r="249" spans="1:35" ht="21" hidden="1" customHeight="1" outlineLevel="2" x14ac:dyDescent="0.35">
      <c r="A249" s="979"/>
      <c r="B249" s="980"/>
      <c r="C249" s="981"/>
      <c r="D249" s="15"/>
      <c r="E249" s="15"/>
      <c r="F249" s="15"/>
      <c r="G249" s="15"/>
      <c r="H249" s="15"/>
      <c r="I249" s="15"/>
      <c r="J249" s="15"/>
      <c r="K249" s="15"/>
      <c r="L249" s="15"/>
      <c r="M249" s="15"/>
      <c r="N249" s="15"/>
      <c r="O249" s="15"/>
      <c r="P249" s="15"/>
      <c r="Q249" s="15"/>
      <c r="R249" s="15"/>
      <c r="S249" s="15"/>
      <c r="T249" s="15"/>
      <c r="U249" s="229" t="s">
        <v>216</v>
      </c>
      <c r="V249" s="272">
        <v>519</v>
      </c>
      <c r="W249" s="225"/>
      <c r="X249" s="944">
        <f>SUMIFS(COMPRAS!BG:BG,COMPRAS!BF:BF,V249,COMPRAS!CS:CS,"=01-REGIMEN GENERAL",COMPRAS!CX:CX,"&lt;&gt;SI",COMPRAS!DD:DD,"=SI")+SUMIFS(COMPRAS!BP:BP,COMPRAS!BO:BO,V249,COMPRAS!CS:CS,"=01-REGIMEN GENERAL",COMPRAS!CX:CX,"&lt;&gt;SI",COMPRAS!DD:DD,"=SI")+SUMIFS(COMPRAS!BY:BY,COMPRAS!BX:BX,V249,COMPRAS!CS:CS,"=01-REGIMEN GENERAL",COMPRAS!CX:CX,"&lt;&gt;SI",COMPRAS!DD:DD,"=SI")</f>
        <v>0</v>
      </c>
      <c r="Y249" s="945"/>
      <c r="Z249" s="945"/>
      <c r="AA249" s="945"/>
      <c r="AB249" s="224"/>
      <c r="AC249" s="52"/>
      <c r="AD249" s="227"/>
      <c r="AE249" s="944">
        <f>SUMIFS(COMPRAS!BI:BI,COMPRAS!BF:BF,V249,COMPRAS!CS:CS,"=01-REGIMEN GENERAL",COMPRAS!CX:CX,"&lt;&gt;SI",COMPRAS!DD:DD,"=SI")+SUMIFS(COMPRAS!BR:BR,COMPRAS!BO:BO,V249,COMPRAS!CS:CS,"=01-REGIMEN GENERAL",COMPRAS!CX:CX,"&lt;&gt;SI",COMPRAS!DD:DD,"=SI")+SUMIFS(COMPRAS!CA:CA,COMPRAS!BX:BX,V249,COMPRAS!CS:CS,"=01-REGIMEN GENERAL",COMPRAS!CX:CX,"&lt;&gt;SI",COMPRAS!DD:DD,"=SI")</f>
        <v>0</v>
      </c>
      <c r="AF249" s="945"/>
      <c r="AG249" s="945"/>
      <c r="AH249" s="945"/>
      <c r="AI249" s="206"/>
    </row>
    <row r="250" spans="1:35" ht="21" hidden="1" customHeight="1" outlineLevel="2" x14ac:dyDescent="0.35">
      <c r="A250" s="979"/>
      <c r="B250" s="980"/>
      <c r="C250" s="981"/>
      <c r="D250" s="15"/>
      <c r="E250" s="15"/>
      <c r="F250" s="15"/>
      <c r="G250" s="15"/>
      <c r="H250" s="15"/>
      <c r="I250" s="15"/>
      <c r="J250" s="15"/>
      <c r="K250" s="15"/>
      <c r="L250" s="15"/>
      <c r="M250" s="15"/>
      <c r="N250" s="15"/>
      <c r="O250" s="15"/>
      <c r="P250" s="15"/>
      <c r="Q250" s="15"/>
      <c r="R250" s="15"/>
      <c r="S250" s="15"/>
      <c r="T250" s="15"/>
      <c r="U250" s="229" t="s">
        <v>1073</v>
      </c>
      <c r="V250" s="272">
        <v>525</v>
      </c>
      <c r="W250" s="225"/>
      <c r="X250" s="944">
        <f>SUMIFS(COMPRAS!BG:BG,COMPRAS!BF:BF,V250,COMPRAS!CS:CS,"=01-REGIMEN GENERAL",COMPRAS!CX:CX,"&lt;&gt;SI",COMPRAS!DD:DD,"=SI")+SUMIFS(COMPRAS!BP:BP,COMPRAS!BO:BO,V250,COMPRAS!CS:CS,"=01-REGIMEN GENERAL",COMPRAS!CX:CX,"&lt;&gt;SI",COMPRAS!DD:DD,"=SI")+SUMIFS(COMPRAS!BY:BY,COMPRAS!BX:BX,V250,COMPRAS!CS:CS,"=01-REGIMEN GENERAL",COMPRAS!CX:CX,"&lt;&gt;SI",COMPRAS!DD:DD,"=SI")</f>
        <v>0</v>
      </c>
      <c r="Y250" s="945"/>
      <c r="Z250" s="945"/>
      <c r="AA250" s="945"/>
      <c r="AB250" s="224"/>
      <c r="AC250" s="52"/>
      <c r="AD250" s="227"/>
      <c r="AE250" s="944">
        <f>SUMIFS(COMPRAS!BI:BI,COMPRAS!BF:BF,V250,COMPRAS!CS:CS,"=01-REGIMEN GENERAL",COMPRAS!CX:CX,"&lt;&gt;SI",COMPRAS!DD:DD,"=SI")+SUMIFS(COMPRAS!BR:BR,COMPRAS!BO:BO,V250,COMPRAS!CS:CS,"=01-REGIMEN GENERAL",COMPRAS!CX:CX,"&lt;&gt;SI",COMPRAS!DD:DD,"=SI")+SUMIFS(COMPRAS!CA:CA,COMPRAS!BX:BX,V250,COMPRAS!CS:CS,"=01-REGIMEN GENERAL",COMPRAS!CX:CX,"&lt;&gt;SI",COMPRAS!DD:DD,"=SI")</f>
        <v>0</v>
      </c>
      <c r="AF250" s="945"/>
      <c r="AG250" s="945"/>
      <c r="AH250" s="945"/>
      <c r="AI250" s="206"/>
    </row>
    <row r="251" spans="1:35" ht="21" hidden="1" customHeight="1" outlineLevel="2" x14ac:dyDescent="0.35">
      <c r="A251" s="979"/>
      <c r="B251" s="980"/>
      <c r="C251" s="981"/>
      <c r="D251" s="15"/>
      <c r="E251" s="15"/>
      <c r="F251" s="15"/>
      <c r="G251" s="15"/>
      <c r="H251" s="15"/>
      <c r="I251" s="15"/>
      <c r="J251" s="15"/>
      <c r="K251" s="15"/>
      <c r="L251" s="15"/>
      <c r="M251" s="15"/>
      <c r="N251" s="15"/>
      <c r="O251" s="15"/>
      <c r="P251" s="15"/>
      <c r="Q251" s="15"/>
      <c r="R251" s="15"/>
      <c r="S251" s="15"/>
      <c r="T251" s="15"/>
      <c r="U251" s="229" t="s">
        <v>199</v>
      </c>
      <c r="V251" s="272" t="s">
        <v>198</v>
      </c>
      <c r="W251" s="225"/>
      <c r="X251" s="944">
        <f>SUMIFS(COMPRAS!BG:BG,COMPRAS!BF:BF,V251,COMPRAS!CS:CS,"=01-REGIMEN GENERAL",COMPRAS!CX:CX,"&lt;&gt;SI",COMPRAS!DD:DD,"=SI")+SUMIFS(COMPRAS!BP:BP,COMPRAS!BO:BO,V251,COMPRAS!CS:CS,"=01-REGIMEN GENERAL",COMPRAS!CX:CX,"&lt;&gt;SI",COMPRAS!DD:DD,"=SI")+SUMIFS(COMPRAS!BY:BY,COMPRAS!BX:BX,V251,COMPRAS!CS:CS,"=01-REGIMEN GENERAL",COMPRAS!CX:CX,"&lt;&gt;SI",COMPRAS!DD:DD,"=SI")</f>
        <v>0</v>
      </c>
      <c r="Y251" s="945"/>
      <c r="Z251" s="945"/>
      <c r="AA251" s="945"/>
      <c r="AB251" s="224"/>
      <c r="AC251" s="52"/>
      <c r="AD251" s="227"/>
      <c r="AE251" s="944">
        <f>SUMIFS(COMPRAS!BI:BI,COMPRAS!BF:BF,V251,COMPRAS!CS:CS,"=01-REGIMEN GENERAL",COMPRAS!CX:CX,"&lt;&gt;SI",COMPRAS!DD:DD,"=SI")+SUMIFS(COMPRAS!BR:BR,COMPRAS!BO:BO,V251,COMPRAS!CS:CS,"=01-REGIMEN GENERAL",COMPRAS!CX:CX,"&lt;&gt;SI",COMPRAS!DD:DD,"=SI")+SUMIFS(COMPRAS!CA:CA,COMPRAS!BX:BX,V251,COMPRAS!CS:CS,"=01-REGIMEN GENERAL",COMPRAS!CX:CX,"&lt;&gt;SI",COMPRAS!DD:DD,"=SI")</f>
        <v>0</v>
      </c>
      <c r="AF251" s="945"/>
      <c r="AG251" s="945"/>
      <c r="AH251" s="945"/>
      <c r="AI251" s="206"/>
    </row>
    <row r="252" spans="1:35" ht="21" hidden="1" customHeight="1" outlineLevel="2" x14ac:dyDescent="0.35">
      <c r="A252" s="979"/>
      <c r="B252" s="980"/>
      <c r="C252" s="981"/>
      <c r="D252" s="15"/>
      <c r="E252" s="15"/>
      <c r="F252" s="15"/>
      <c r="G252" s="15"/>
      <c r="H252" s="15"/>
      <c r="I252" s="15"/>
      <c r="J252" s="15"/>
      <c r="K252" s="15"/>
      <c r="L252" s="15"/>
      <c r="M252" s="15"/>
      <c r="N252" s="15"/>
      <c r="O252" s="15"/>
      <c r="P252" s="15"/>
      <c r="Q252" s="15"/>
      <c r="R252" s="15"/>
      <c r="S252" s="15"/>
      <c r="T252" s="15"/>
      <c r="U252" s="229" t="s">
        <v>201</v>
      </c>
      <c r="V252" s="272" t="s">
        <v>200</v>
      </c>
      <c r="W252" s="225"/>
      <c r="X252" s="944">
        <f>SUMIFS(COMPRAS!BG:BG,COMPRAS!BF:BF,V252,COMPRAS!CS:CS,"=01-REGIMEN GENERAL",COMPRAS!CX:CX,"&lt;&gt;SI",COMPRAS!DD:DD,"=SI")+SUMIFS(COMPRAS!BP:BP,COMPRAS!BO:BO,V252,COMPRAS!CS:CS,"=01-REGIMEN GENERAL",COMPRAS!CX:CX,"&lt;&gt;SI",COMPRAS!DD:DD,"=SI")+SUMIFS(COMPRAS!BY:BY,COMPRAS!BX:BX,V252,COMPRAS!CS:CS,"=01-REGIMEN GENERAL",COMPRAS!CX:CX,"&lt;&gt;SI",COMPRAS!DD:DD,"=SI")</f>
        <v>0</v>
      </c>
      <c r="Y252" s="945"/>
      <c r="Z252" s="945"/>
      <c r="AA252" s="945"/>
      <c r="AB252" s="224"/>
      <c r="AC252" s="52"/>
      <c r="AD252" s="227"/>
      <c r="AE252" s="944">
        <f>SUMIFS(COMPRAS!BI:BI,COMPRAS!BF:BF,V252,COMPRAS!CS:CS,"=01-REGIMEN GENERAL",COMPRAS!CX:CX,"&lt;&gt;SI",COMPRAS!DD:DD,"=SI")+SUMIFS(COMPRAS!BR:BR,COMPRAS!BO:BO,V252,COMPRAS!CS:CS,"=01-REGIMEN GENERAL",COMPRAS!CX:CX,"&lt;&gt;SI",COMPRAS!DD:DD,"=SI")+SUMIFS(COMPRAS!CA:CA,COMPRAS!BX:BX,V252,COMPRAS!CS:CS,"=01-REGIMEN GENERAL",COMPRAS!CX:CX,"&lt;&gt;SI",COMPRAS!DD:DD,"=SI")</f>
        <v>0</v>
      </c>
      <c r="AF252" s="945"/>
      <c r="AG252" s="945"/>
      <c r="AH252" s="945"/>
      <c r="AI252" s="206"/>
    </row>
    <row r="253" spans="1:35" ht="21" hidden="1" customHeight="1" outlineLevel="2" x14ac:dyDescent="0.35">
      <c r="A253" s="979"/>
      <c r="B253" s="980"/>
      <c r="C253" s="981"/>
      <c r="D253" s="15"/>
      <c r="E253" s="15"/>
      <c r="F253" s="15"/>
      <c r="G253" s="15"/>
      <c r="H253" s="15"/>
      <c r="I253" s="15"/>
      <c r="J253" s="15"/>
      <c r="K253" s="15"/>
      <c r="L253" s="15"/>
      <c r="M253" s="15"/>
      <c r="N253" s="15"/>
      <c r="O253" s="15"/>
      <c r="P253" s="15"/>
      <c r="Q253" s="15"/>
      <c r="R253" s="15"/>
      <c r="S253" s="15"/>
      <c r="T253" s="15"/>
      <c r="U253" s="229" t="s">
        <v>204</v>
      </c>
      <c r="V253" s="272" t="s">
        <v>203</v>
      </c>
      <c r="W253" s="225"/>
      <c r="X253" s="944">
        <f>SUMIFS(COMPRAS!BG:BG,COMPRAS!BF:BF,V253,COMPRAS!CS:CS,"=01-REGIMEN GENERAL",COMPRAS!CX:CX,"&lt;&gt;SI",COMPRAS!DD:DD,"=SI")+SUMIFS(COMPRAS!BP:BP,COMPRAS!BO:BO,V253,COMPRAS!CS:CS,"=01-REGIMEN GENERAL",COMPRAS!CX:CX,"&lt;&gt;SI",COMPRAS!DD:DD,"=SI")+SUMIFS(COMPRAS!BY:BY,COMPRAS!BX:BX,V253,COMPRAS!CS:CS,"=01-REGIMEN GENERAL",COMPRAS!CX:CX,"&lt;&gt;SI",COMPRAS!DD:DD,"=SI")</f>
        <v>0</v>
      </c>
      <c r="Y253" s="945"/>
      <c r="Z253" s="945"/>
      <c r="AA253" s="945"/>
      <c r="AB253" s="224"/>
      <c r="AC253" s="52"/>
      <c r="AD253" s="227"/>
      <c r="AE253" s="944">
        <f>SUMIFS(COMPRAS!BI:BI,COMPRAS!BF:BF,V253,COMPRAS!CS:CS,"=01-REGIMEN GENERAL",COMPRAS!CX:CX,"&lt;&gt;SI",COMPRAS!DD:DD,"=SI")+SUMIFS(COMPRAS!BR:BR,COMPRAS!BO:BO,V253,COMPRAS!CS:CS,"=01-REGIMEN GENERAL",COMPRAS!CX:CX,"&lt;&gt;SI",COMPRAS!DD:DD,"=SI")+SUMIFS(COMPRAS!CA:CA,COMPRAS!BX:BX,V253,COMPRAS!CS:CS,"=01-REGIMEN GENERAL",COMPRAS!CX:CX,"&lt;&gt;SI",COMPRAS!DD:DD,"=SI")</f>
        <v>0</v>
      </c>
      <c r="AF253" s="945"/>
      <c r="AG253" s="945"/>
      <c r="AH253" s="945"/>
      <c r="AI253" s="206"/>
    </row>
    <row r="254" spans="1:35" ht="21" hidden="1" customHeight="1" outlineLevel="2" x14ac:dyDescent="0.35">
      <c r="A254" s="979"/>
      <c r="B254" s="980"/>
      <c r="C254" s="981"/>
      <c r="D254" s="15"/>
      <c r="E254" s="15"/>
      <c r="F254" s="15"/>
      <c r="G254" s="15"/>
      <c r="H254" s="15"/>
      <c r="I254" s="15"/>
      <c r="J254" s="15"/>
      <c r="K254" s="15"/>
      <c r="L254" s="15"/>
      <c r="M254" s="15"/>
      <c r="N254" s="15"/>
      <c r="O254" s="15"/>
      <c r="P254" s="15"/>
      <c r="Q254" s="15"/>
      <c r="R254" s="15"/>
      <c r="S254" s="15"/>
      <c r="T254" s="15"/>
      <c r="U254" s="229" t="s">
        <v>210</v>
      </c>
      <c r="V254" s="272" t="s">
        <v>209</v>
      </c>
      <c r="W254" s="225"/>
      <c r="X254" s="944">
        <f>SUMIFS(COMPRAS!BG:BG,COMPRAS!BF:BF,V254,COMPRAS!CS:CS,"=01-REGIMEN GENERAL",COMPRAS!CX:CX,"&lt;&gt;SI",COMPRAS!DD:DD,"=SI")+SUMIFS(COMPRAS!BP:BP,COMPRAS!BO:BO,V254,COMPRAS!CS:CS,"=01-REGIMEN GENERAL",COMPRAS!CX:CX,"&lt;&gt;SI",COMPRAS!DD:DD,"=SI")+SUMIFS(COMPRAS!BY:BY,COMPRAS!BX:BX,V254,COMPRAS!CS:CS,"=01-REGIMEN GENERAL",COMPRAS!CX:CX,"&lt;&gt;SI",COMPRAS!DD:DD,"=SI")</f>
        <v>0</v>
      </c>
      <c r="Y254" s="945"/>
      <c r="Z254" s="945"/>
      <c r="AA254" s="945"/>
      <c r="AB254" s="224"/>
      <c r="AC254" s="52"/>
      <c r="AD254" s="227"/>
      <c r="AE254" s="944">
        <f>SUMIFS(COMPRAS!BI:BI,COMPRAS!BF:BF,V254,COMPRAS!CS:CS,"=01-REGIMEN GENERAL",COMPRAS!CX:CX,"&lt;&gt;SI",COMPRAS!DD:DD,"=SI")+SUMIFS(COMPRAS!BR:BR,COMPRAS!BO:BO,V254,COMPRAS!CS:CS,"=01-REGIMEN GENERAL",COMPRAS!CX:CX,"&lt;&gt;SI",COMPRAS!DD:DD,"=SI")+SUMIFS(COMPRAS!CA:CA,COMPRAS!BX:BX,V254,COMPRAS!CS:CS,"=01-REGIMEN GENERAL",COMPRAS!CX:CX,"&lt;&gt;SI",COMPRAS!DD:DD,"=SI")</f>
        <v>0</v>
      </c>
      <c r="AF254" s="945"/>
      <c r="AG254" s="945"/>
      <c r="AH254" s="945"/>
      <c r="AI254" s="206"/>
    </row>
    <row r="255" spans="1:35" ht="21" hidden="1" customHeight="1" outlineLevel="2" x14ac:dyDescent="0.35">
      <c r="A255" s="979"/>
      <c r="B255" s="980"/>
      <c r="C255" s="981"/>
      <c r="D255" s="15"/>
      <c r="E255" s="15"/>
      <c r="F255" s="15"/>
      <c r="G255" s="15"/>
      <c r="H255" s="15"/>
      <c r="I255" s="15"/>
      <c r="J255" s="15"/>
      <c r="K255" s="15"/>
      <c r="L255" s="15"/>
      <c r="M255" s="15"/>
      <c r="N255" s="15"/>
      <c r="O255" s="15"/>
      <c r="P255" s="15"/>
      <c r="Q255" s="15"/>
      <c r="R255" s="15"/>
      <c r="S255" s="15"/>
      <c r="T255" s="15"/>
      <c r="U255" s="229" t="s">
        <v>218</v>
      </c>
      <c r="V255" s="272" t="s">
        <v>217</v>
      </c>
      <c r="W255" s="225"/>
      <c r="X255" s="944">
        <f>SUMIFS(COMPRAS!BG:BG,COMPRAS!BF:BF,V255,COMPRAS!CS:CS,"=01-REGIMEN GENERAL",COMPRAS!CX:CX,"&lt;&gt;SI",COMPRAS!DD:DD,"=SI")+SUMIFS(COMPRAS!BP:BP,COMPRAS!BO:BO,V255,COMPRAS!CS:CS,"=01-REGIMEN GENERAL",COMPRAS!CX:CX,"&lt;&gt;SI",COMPRAS!DD:DD,"=SI")+SUMIFS(COMPRAS!BY:BY,COMPRAS!BX:BX,V255,COMPRAS!CS:CS,"=01-REGIMEN GENERAL",COMPRAS!CX:CX,"&lt;&gt;SI",COMPRAS!DD:DD,"=SI")</f>
        <v>0</v>
      </c>
      <c r="Y255" s="945"/>
      <c r="Z255" s="945"/>
      <c r="AA255" s="945"/>
      <c r="AB255" s="224"/>
      <c r="AC255" s="52"/>
      <c r="AD255" s="227"/>
      <c r="AE255" s="944">
        <f>SUMIFS(COMPRAS!BI:BI,COMPRAS!BF:BF,V255,COMPRAS!CS:CS,"=01-REGIMEN GENERAL",COMPRAS!CX:CX,"&lt;&gt;SI",COMPRAS!DD:DD,"=SI")+SUMIFS(COMPRAS!BR:BR,COMPRAS!BO:BO,V255,COMPRAS!CS:CS,"=01-REGIMEN GENERAL",COMPRAS!CX:CX,"&lt;&gt;SI",COMPRAS!DD:DD,"=SI")+SUMIFS(COMPRAS!CA:CA,COMPRAS!BX:BX,V255,COMPRAS!CS:CS,"=01-REGIMEN GENERAL",COMPRAS!CX:CX,"&lt;&gt;SI",COMPRAS!DD:DD,"=SI")</f>
        <v>0</v>
      </c>
      <c r="AF255" s="945"/>
      <c r="AG255" s="945"/>
      <c r="AH255" s="945"/>
      <c r="AI255" s="206"/>
    </row>
    <row r="256" spans="1:35" ht="21" hidden="1" customHeight="1" outlineLevel="2" x14ac:dyDescent="0.35">
      <c r="A256" s="979"/>
      <c r="B256" s="980"/>
      <c r="C256" s="981"/>
      <c r="D256" s="15"/>
      <c r="E256" s="15"/>
      <c r="F256" s="15"/>
      <c r="G256" s="15"/>
      <c r="H256" s="15"/>
      <c r="I256" s="15"/>
      <c r="J256" s="15"/>
      <c r="K256" s="15"/>
      <c r="L256" s="15"/>
      <c r="M256" s="15"/>
      <c r="N256" s="15"/>
      <c r="O256" s="15"/>
      <c r="P256" s="15"/>
      <c r="Q256" s="15"/>
      <c r="R256" s="15"/>
      <c r="S256" s="15"/>
      <c r="T256" s="15"/>
      <c r="U256" s="229" t="s">
        <v>220</v>
      </c>
      <c r="V256" s="272" t="s">
        <v>219</v>
      </c>
      <c r="W256" s="225"/>
      <c r="X256" s="944">
        <f>SUMIFS(COMPRAS!BG:BG,COMPRAS!BF:BF,V256,COMPRAS!CS:CS,"=01-REGIMEN GENERAL",COMPRAS!CX:CX,"&lt;&gt;SI",COMPRAS!DD:DD,"=SI")+SUMIFS(COMPRAS!BP:BP,COMPRAS!BO:BO,V256,COMPRAS!CS:CS,"=01-REGIMEN GENERAL",COMPRAS!CX:CX,"&lt;&gt;SI",COMPRAS!DD:DD,"=SI")+SUMIFS(COMPRAS!BY:BY,COMPRAS!BX:BX,V256,COMPRAS!CS:CS,"=01-REGIMEN GENERAL",COMPRAS!CX:CX,"&lt;&gt;SI",COMPRAS!DD:DD,"=SI")</f>
        <v>0</v>
      </c>
      <c r="Y256" s="945"/>
      <c r="Z256" s="945"/>
      <c r="AA256" s="945"/>
      <c r="AB256" s="224"/>
      <c r="AC256" s="52"/>
      <c r="AD256" s="227"/>
      <c r="AE256" s="944">
        <f>SUMIFS(COMPRAS!BI:BI,COMPRAS!BF:BF,V256,COMPRAS!CS:CS,"=01-REGIMEN GENERAL",COMPRAS!CX:CX,"&lt;&gt;SI",COMPRAS!DD:DD,"=SI")+SUMIFS(COMPRAS!BR:BR,COMPRAS!BO:BO,V256,COMPRAS!CS:CS,"=01-REGIMEN GENERAL",COMPRAS!CX:CX,"&lt;&gt;SI",COMPRAS!DD:DD,"=SI")+SUMIFS(COMPRAS!CA:CA,COMPRAS!BX:BX,V256,COMPRAS!CS:CS,"=01-REGIMEN GENERAL",COMPRAS!CX:CX,"&lt;&gt;SI",COMPRAS!DD:DD,"=SI")</f>
        <v>0</v>
      </c>
      <c r="AF256" s="945"/>
      <c r="AG256" s="945"/>
      <c r="AH256" s="945"/>
      <c r="AI256" s="206"/>
    </row>
    <row r="257" spans="1:37" ht="21" hidden="1" customHeight="1" outlineLevel="2" x14ac:dyDescent="0.35">
      <c r="A257" s="979"/>
      <c r="B257" s="980"/>
      <c r="C257" s="981"/>
      <c r="D257" s="15"/>
      <c r="E257" s="15"/>
      <c r="F257" s="15"/>
      <c r="G257" s="15"/>
      <c r="H257" s="15"/>
      <c r="I257" s="15"/>
      <c r="J257" s="15"/>
      <c r="K257" s="15"/>
      <c r="L257" s="15"/>
      <c r="M257" s="15"/>
      <c r="N257" s="15"/>
      <c r="O257" s="15"/>
      <c r="P257" s="15"/>
      <c r="Q257" s="15"/>
      <c r="R257" s="15"/>
      <c r="S257" s="15"/>
      <c r="T257" s="15"/>
      <c r="U257" s="229" t="s">
        <v>222</v>
      </c>
      <c r="V257" s="272" t="s">
        <v>221</v>
      </c>
      <c r="W257" s="225"/>
      <c r="X257" s="944">
        <f>SUMIFS(COMPRAS!BG:BG,COMPRAS!BF:BF,V257,COMPRAS!CS:CS,"=01-REGIMEN GENERAL",COMPRAS!CX:CX,"&lt;&gt;SI",COMPRAS!DD:DD,"=SI")+SUMIFS(COMPRAS!BP:BP,COMPRAS!BO:BO,V257,COMPRAS!CS:CS,"=01-REGIMEN GENERAL",COMPRAS!CX:CX,"&lt;&gt;SI",COMPRAS!DD:DD,"=SI")+SUMIFS(COMPRAS!BY:BY,COMPRAS!BX:BX,V257,COMPRAS!CS:CS,"=01-REGIMEN GENERAL",COMPRAS!CX:CX,"&lt;&gt;SI",COMPRAS!DD:DD,"=SI")</f>
        <v>0</v>
      </c>
      <c r="Y257" s="945"/>
      <c r="Z257" s="945"/>
      <c r="AA257" s="945"/>
      <c r="AB257" s="224"/>
      <c r="AC257" s="52"/>
      <c r="AD257" s="227"/>
      <c r="AE257" s="944">
        <f>SUMIFS(COMPRAS!BI:BI,COMPRAS!BF:BF,V257,COMPRAS!CS:CS,"=01-REGIMEN GENERAL",COMPRAS!CX:CX,"&lt;&gt;SI",COMPRAS!DD:DD,"=SI")+SUMIFS(COMPRAS!BR:BR,COMPRAS!BO:BO,V257,COMPRAS!CS:CS,"=01-REGIMEN GENERAL",COMPRAS!CX:CX,"&lt;&gt;SI",COMPRAS!DD:DD,"=SI")+SUMIFS(COMPRAS!CA:CA,COMPRAS!BX:BX,V257,COMPRAS!CS:CS,"=01-REGIMEN GENERAL",COMPRAS!CX:CX,"&lt;&gt;SI",COMPRAS!DD:DD,"=SI")</f>
        <v>0</v>
      </c>
      <c r="AF257" s="945"/>
      <c r="AG257" s="945"/>
      <c r="AH257" s="945"/>
      <c r="AI257" s="206"/>
    </row>
    <row r="258" spans="1:37" ht="21" hidden="1" customHeight="1" outlineLevel="2" x14ac:dyDescent="0.35">
      <c r="A258" s="979"/>
      <c r="B258" s="980"/>
      <c r="C258" s="981"/>
      <c r="D258" s="15"/>
      <c r="E258" s="15"/>
      <c r="F258" s="15"/>
      <c r="G258" s="15"/>
      <c r="H258" s="15"/>
      <c r="I258" s="15"/>
      <c r="J258" s="15"/>
      <c r="K258" s="15"/>
      <c r="L258" s="15"/>
      <c r="M258" s="15"/>
      <c r="N258" s="15"/>
      <c r="O258" s="15"/>
      <c r="P258" s="15"/>
      <c r="Q258" s="15"/>
      <c r="R258" s="15"/>
      <c r="S258" s="15"/>
      <c r="T258" s="15"/>
      <c r="U258" s="229" t="s">
        <v>224</v>
      </c>
      <c r="V258" s="272" t="s">
        <v>223</v>
      </c>
      <c r="W258" s="225"/>
      <c r="X258" s="944">
        <f>SUMIFS(COMPRAS!BG:BG,COMPRAS!BF:BF,V258,COMPRAS!CS:CS,"=01-REGIMEN GENERAL",COMPRAS!CX:CX,"&lt;&gt;SI",COMPRAS!DD:DD,"=SI")+SUMIFS(COMPRAS!BP:BP,COMPRAS!BO:BO,V258,COMPRAS!CS:CS,"=01-REGIMEN GENERAL",COMPRAS!CX:CX,"&lt;&gt;SI",COMPRAS!DD:DD,"=SI")+SUMIFS(COMPRAS!BY:BY,COMPRAS!BX:BX,V258,COMPRAS!CS:CS,"=01-REGIMEN GENERAL",COMPRAS!CX:CX,"&lt;&gt;SI",COMPRAS!DD:DD,"=SI")</f>
        <v>0</v>
      </c>
      <c r="Y258" s="945"/>
      <c r="Z258" s="945"/>
      <c r="AA258" s="945"/>
      <c r="AB258" s="224"/>
      <c r="AC258" s="52"/>
      <c r="AD258" s="227"/>
      <c r="AE258" s="944">
        <f>SUMIFS(COMPRAS!BI:BI,COMPRAS!BF:BF,V258,COMPRAS!CS:CS,"=01-REGIMEN GENERAL",COMPRAS!CX:CX,"&lt;&gt;SI",COMPRAS!DD:DD,"=SI")+SUMIFS(COMPRAS!BR:BR,COMPRAS!BO:BO,V258,COMPRAS!CS:CS,"=01-REGIMEN GENERAL",COMPRAS!CX:CX,"&lt;&gt;SI",COMPRAS!DD:DD,"=SI")+SUMIFS(COMPRAS!CA:CA,COMPRAS!BX:BX,V258,COMPRAS!CS:CS,"=01-REGIMEN GENERAL",COMPRAS!CX:CX,"&lt;&gt;SI",COMPRAS!DD:DD,"=SI")</f>
        <v>0</v>
      </c>
      <c r="AF258" s="945"/>
      <c r="AG258" s="945"/>
      <c r="AH258" s="945"/>
      <c r="AI258" s="206"/>
    </row>
    <row r="259" spans="1:37" ht="21" hidden="1" customHeight="1" outlineLevel="2" x14ac:dyDescent="0.35">
      <c r="A259" s="979"/>
      <c r="B259" s="980"/>
      <c r="C259" s="981"/>
      <c r="D259" s="15"/>
      <c r="E259" s="15"/>
      <c r="F259" s="15"/>
      <c r="G259" s="15"/>
      <c r="H259" s="15"/>
      <c r="I259" s="15"/>
      <c r="J259" s="15"/>
      <c r="K259" s="15"/>
      <c r="L259" s="15"/>
      <c r="M259" s="15"/>
      <c r="N259" s="15"/>
      <c r="O259" s="15"/>
      <c r="P259" s="15"/>
      <c r="Q259" s="15"/>
      <c r="R259" s="15"/>
      <c r="S259" s="15"/>
      <c r="T259" s="15"/>
      <c r="U259" s="229" t="s">
        <v>226</v>
      </c>
      <c r="V259" s="272" t="s">
        <v>225</v>
      </c>
      <c r="W259" s="225"/>
      <c r="X259" s="944">
        <f>SUMIFS(COMPRAS!BG:BG,COMPRAS!BF:BF,V259,COMPRAS!CS:CS,"=01-REGIMEN GENERAL",COMPRAS!CX:CX,"&lt;&gt;SI",COMPRAS!DD:DD,"=SI")+SUMIFS(COMPRAS!BP:BP,COMPRAS!BO:BO,V259,COMPRAS!CS:CS,"=01-REGIMEN GENERAL",COMPRAS!CX:CX,"&lt;&gt;SI",COMPRAS!DD:DD,"=SI")+SUMIFS(COMPRAS!BY:BY,COMPRAS!BX:BX,V259,COMPRAS!CS:CS,"=01-REGIMEN GENERAL",COMPRAS!CX:CX,"&lt;&gt;SI",COMPRAS!DD:DD,"=SI")</f>
        <v>0</v>
      </c>
      <c r="Y259" s="945"/>
      <c r="Z259" s="945"/>
      <c r="AA259" s="945"/>
      <c r="AB259" s="224"/>
      <c r="AC259" s="52"/>
      <c r="AD259" s="227"/>
      <c r="AE259" s="944">
        <f>SUMIFS(COMPRAS!BI:BI,COMPRAS!BF:BF,V259,COMPRAS!CS:CS,"=01-REGIMEN GENERAL",COMPRAS!CX:CX,"&lt;&gt;SI",COMPRAS!DD:DD,"=SI")+SUMIFS(COMPRAS!BR:BR,COMPRAS!BO:BO,V259,COMPRAS!CS:CS,"=01-REGIMEN GENERAL",COMPRAS!CX:CX,"&lt;&gt;SI",COMPRAS!DD:DD,"=SI")+SUMIFS(COMPRAS!CA:CA,COMPRAS!BX:BX,V259,COMPRAS!CS:CS,"=01-REGIMEN GENERAL",COMPRAS!CX:CX,"&lt;&gt;SI",COMPRAS!DD:DD,"=SI")</f>
        <v>0</v>
      </c>
      <c r="AF259" s="945"/>
      <c r="AG259" s="945"/>
      <c r="AH259" s="945"/>
      <c r="AI259" s="206"/>
    </row>
    <row r="260" spans="1:37" ht="21" hidden="1" customHeight="1" outlineLevel="2" x14ac:dyDescent="0.35">
      <c r="A260" s="979"/>
      <c r="B260" s="980"/>
      <c r="C260" s="981"/>
      <c r="D260" s="15"/>
      <c r="E260" s="15"/>
      <c r="F260" s="15"/>
      <c r="G260" s="15"/>
      <c r="H260" s="15"/>
      <c r="I260" s="15"/>
      <c r="J260" s="15"/>
      <c r="K260" s="15"/>
      <c r="L260" s="15"/>
      <c r="M260" s="15"/>
      <c r="N260" s="15"/>
      <c r="O260" s="15"/>
      <c r="P260" s="15"/>
      <c r="Q260" s="15"/>
      <c r="R260" s="15"/>
      <c r="S260" s="15"/>
      <c r="T260" s="15"/>
      <c r="U260" s="229" t="s">
        <v>228</v>
      </c>
      <c r="V260" s="272" t="s">
        <v>227</v>
      </c>
      <c r="W260" s="225"/>
      <c r="X260" s="944">
        <f>SUMIFS(COMPRAS!BG:BG,COMPRAS!BF:BF,V260,COMPRAS!CS:CS,"=01-REGIMEN GENERAL",COMPRAS!CX:CX,"&lt;&gt;SI",COMPRAS!DD:DD,"=SI")+SUMIFS(COMPRAS!BP:BP,COMPRAS!BO:BO,V260,COMPRAS!CS:CS,"=01-REGIMEN GENERAL",COMPRAS!CX:CX,"&lt;&gt;SI",COMPRAS!DD:DD,"=SI")+SUMIFS(COMPRAS!BY:BY,COMPRAS!BX:BX,V260,COMPRAS!CS:CS,"=01-REGIMEN GENERAL",COMPRAS!CX:CX,"&lt;&gt;SI",COMPRAS!DD:DD,"=SI")</f>
        <v>0</v>
      </c>
      <c r="Y260" s="945"/>
      <c r="Z260" s="945"/>
      <c r="AA260" s="945"/>
      <c r="AB260" s="224"/>
      <c r="AC260" s="52"/>
      <c r="AD260" s="227"/>
      <c r="AE260" s="944">
        <f>SUMIFS(COMPRAS!BI:BI,COMPRAS!BF:BF,V260,COMPRAS!CS:CS,"=01-REGIMEN GENERAL",COMPRAS!CX:CX,"&lt;&gt;SI",COMPRAS!DD:DD,"=SI")+SUMIFS(COMPRAS!BR:BR,COMPRAS!BO:BO,V260,COMPRAS!CS:CS,"=01-REGIMEN GENERAL",COMPRAS!CX:CX,"&lt;&gt;SI",COMPRAS!DD:DD,"=SI")+SUMIFS(COMPRAS!CA:CA,COMPRAS!BX:BX,V260,COMPRAS!CS:CS,"=01-REGIMEN GENERAL",COMPRAS!CX:CX,"&lt;&gt;SI",COMPRAS!DD:DD,"=SI")</f>
        <v>0</v>
      </c>
      <c r="AF260" s="945"/>
      <c r="AG260" s="945"/>
      <c r="AH260" s="945"/>
      <c r="AI260" s="206"/>
    </row>
    <row r="261" spans="1:37" ht="21" customHeight="1" outlineLevel="1" collapsed="1" thickBot="1" x14ac:dyDescent="0.4">
      <c r="A261" s="979"/>
      <c r="B261" s="980"/>
      <c r="C261" s="981"/>
      <c r="D261" s="15" t="s">
        <v>940</v>
      </c>
      <c r="E261" s="15"/>
      <c r="F261" s="15"/>
      <c r="G261" s="15"/>
      <c r="H261" s="15"/>
      <c r="I261" s="15"/>
      <c r="J261" s="15"/>
      <c r="K261" s="15"/>
      <c r="L261" s="15"/>
      <c r="M261" s="15"/>
      <c r="N261" s="15"/>
      <c r="O261" s="15"/>
      <c r="P261" s="15"/>
      <c r="Q261" s="15"/>
      <c r="R261" s="15"/>
      <c r="S261" s="15"/>
      <c r="T261" s="15"/>
      <c r="U261" s="130"/>
      <c r="V261" s="226">
        <v>423</v>
      </c>
      <c r="W261" s="225" t="s">
        <v>773</v>
      </c>
      <c r="X261" s="992">
        <f>SUM(X262:AA262)</f>
        <v>0</v>
      </c>
      <c r="Y261" s="993"/>
      <c r="Z261" s="993"/>
      <c r="AA261" s="993"/>
      <c r="AB261" s="220"/>
      <c r="AC261" s="970"/>
      <c r="AD261" s="971"/>
      <c r="AE261" s="971"/>
      <c r="AF261" s="971"/>
      <c r="AG261" s="971"/>
      <c r="AH261" s="971"/>
      <c r="AI261" s="972"/>
    </row>
    <row r="262" spans="1:37" ht="21" hidden="1" customHeight="1" outlineLevel="2" thickBot="1" x14ac:dyDescent="0.4">
      <c r="A262" s="982"/>
      <c r="B262" s="983"/>
      <c r="C262" s="984"/>
      <c r="D262" s="5"/>
      <c r="E262" s="5"/>
      <c r="F262" s="5"/>
      <c r="G262" s="5"/>
      <c r="H262" s="5"/>
      <c r="I262" s="5"/>
      <c r="J262" s="5"/>
      <c r="K262" s="5"/>
      <c r="L262" s="5"/>
      <c r="M262" s="5"/>
      <c r="N262" s="5"/>
      <c r="O262" s="5"/>
      <c r="P262" s="5"/>
      <c r="Q262" s="5"/>
      <c r="R262" s="5"/>
      <c r="S262" s="5"/>
      <c r="T262" s="5"/>
      <c r="U262" s="223" t="s">
        <v>232</v>
      </c>
      <c r="V262" s="222">
        <v>524</v>
      </c>
      <c r="W262" s="221"/>
      <c r="X262" s="985">
        <f>SUMIFS(COMPRAS!BG:BG,COMPRAS!BF:BF,V262,COMPRAS!CS:CS,"=01-REGIMEN GENERAL",COMPRAS!CX:CX,"&lt;&gt;SI",COMPRAS!DD:DD,"=SI")+SUMIFS(COMPRAS!BP:BP,COMPRAS!BO:BO,V262,COMPRAS!CS:CS,"=01-REGIMEN GENERAL",COMPRAS!CX:CX,"&lt;&gt;SI",COMPRAS!DD:DD,"=SI")+SUMIFS(COMPRAS!BY:BY,COMPRAS!BX:BX,V262,COMPRAS!CS:CS,"=01-REGIMEN GENERAL",COMPRAS!CX:CX,"&lt;&gt;SI",COMPRAS!DD:DD,"=SI")</f>
        <v>0</v>
      </c>
      <c r="Y262" s="986"/>
      <c r="Z262" s="986"/>
      <c r="AA262" s="986"/>
      <c r="AB262" s="268"/>
      <c r="AC262" s="967"/>
      <c r="AD262" s="968"/>
      <c r="AE262" s="968"/>
      <c r="AF262" s="968"/>
      <c r="AG262" s="968"/>
      <c r="AH262" s="968"/>
      <c r="AI262" s="969"/>
    </row>
    <row r="263" spans="1:37" ht="21" customHeight="1" outlineLevel="1" collapsed="1" x14ac:dyDescent="0.35">
      <c r="A263" s="976" t="s">
        <v>950</v>
      </c>
      <c r="B263" s="977"/>
      <c r="C263" s="987"/>
      <c r="D263" s="118" t="s">
        <v>949</v>
      </c>
      <c r="E263" s="118"/>
      <c r="F263" s="118"/>
      <c r="G263" s="118"/>
      <c r="H263" s="118"/>
      <c r="I263" s="118"/>
      <c r="J263" s="118"/>
      <c r="K263" s="118"/>
      <c r="L263" s="118"/>
      <c r="M263" s="118"/>
      <c r="N263" s="118"/>
      <c r="O263" s="118"/>
      <c r="P263" s="118"/>
      <c r="Q263" s="118"/>
      <c r="R263" s="118"/>
      <c r="S263" s="118"/>
      <c r="T263" s="118"/>
      <c r="U263" s="238"/>
      <c r="V263" s="237">
        <v>424</v>
      </c>
      <c r="W263" s="236" t="s">
        <v>773</v>
      </c>
      <c r="X263" s="946">
        <f>SUM(X264:AA267)</f>
        <v>0</v>
      </c>
      <c r="Y263" s="947"/>
      <c r="Z263" s="947"/>
      <c r="AA263" s="947"/>
      <c r="AB263" s="235"/>
      <c r="AC263" s="234">
        <v>474</v>
      </c>
      <c r="AD263" s="233" t="s">
        <v>773</v>
      </c>
      <c r="AE263" s="994">
        <f>SUM(AE264:AH267)</f>
        <v>0</v>
      </c>
      <c r="AF263" s="995"/>
      <c r="AG263" s="995"/>
      <c r="AH263" s="995"/>
      <c r="AI263" s="232"/>
    </row>
    <row r="264" spans="1:37" ht="21" hidden="1" customHeight="1" outlineLevel="2" x14ac:dyDescent="0.35">
      <c r="A264" s="979"/>
      <c r="B264" s="980"/>
      <c r="C264" s="988"/>
      <c r="D264" s="15"/>
      <c r="E264" s="15"/>
      <c r="F264" s="15"/>
      <c r="G264" s="15"/>
      <c r="H264" s="15"/>
      <c r="I264" s="15"/>
      <c r="J264" s="15"/>
      <c r="K264" s="15"/>
      <c r="L264" s="15"/>
      <c r="M264" s="15"/>
      <c r="N264" s="15"/>
      <c r="O264" s="15"/>
      <c r="P264" s="15"/>
      <c r="Q264" s="15"/>
      <c r="R264" s="15"/>
      <c r="S264" s="15"/>
      <c r="T264" s="15"/>
      <c r="U264" s="229" t="s">
        <v>191</v>
      </c>
      <c r="V264" s="272" t="s">
        <v>190</v>
      </c>
      <c r="W264" s="225"/>
      <c r="X264" s="944">
        <f>SUMIFS(COMPRAS!BG:BG,COMPRAS!BF:BF,V264,COMPRAS!CS:CS,"&lt;&gt;01-REGIMEN GENERAL",COMPRAS!DD:DD,"=SI")+SUMIFS(COMPRAS!BP:BP,COMPRAS!BO:BO,V264,COMPRAS!CS:CS,"&lt;&gt;01-REGIMEN GENERAL",COMPRAS!DD:DD,"=SI")+SUMIFS(COMPRAS!BY:BY,COMPRAS!BX:BX,V264,COMPRAS!CS:CS,"&lt;&gt;01-REGIMEN GENERAL",COMPRAS!DD:DD,"=SI")</f>
        <v>0</v>
      </c>
      <c r="Y264" s="945"/>
      <c r="Z264" s="945"/>
      <c r="AA264" s="945"/>
      <c r="AB264" s="224"/>
      <c r="AC264" s="52"/>
      <c r="AD264" s="227"/>
      <c r="AE264" s="944">
        <f>SUMIFS(COMPRAS!BI:BI,COMPRAS!BF:BF,V264,COMPRAS!CS:CS,"&lt;&gt;01-REGIMEN GENERAL",COMPRAS!DD:DD,"=SI")+SUMIFS(COMPRAS!BR:BR,COMPRAS!BO:BO,V264,COMPRAS!CS:CS,"&lt;&gt;01-REGIMEN GENERAL",COMPRAS!DD:DD,"=SI")+SUMIFS(COMPRAS!CA:CA,COMPRAS!BX:BX,V264,COMPRAS!CS:CS,"&lt;&gt;01-REGIMEN GENERAL",COMPRAS!DD:DD,"=SI")</f>
        <v>0</v>
      </c>
      <c r="AF264" s="945"/>
      <c r="AG264" s="945"/>
      <c r="AH264" s="945"/>
      <c r="AI264" s="206"/>
      <c r="AK264" s="95"/>
    </row>
    <row r="265" spans="1:37" ht="21" hidden="1" customHeight="1" outlineLevel="2" x14ac:dyDescent="0.35">
      <c r="A265" s="979"/>
      <c r="B265" s="980"/>
      <c r="C265" s="988"/>
      <c r="D265" s="15"/>
      <c r="E265" s="15"/>
      <c r="F265" s="15"/>
      <c r="G265" s="15"/>
      <c r="H265" s="15"/>
      <c r="I265" s="15"/>
      <c r="J265" s="15"/>
      <c r="K265" s="15"/>
      <c r="L265" s="15"/>
      <c r="M265" s="15"/>
      <c r="N265" s="15"/>
      <c r="O265" s="15"/>
      <c r="P265" s="15"/>
      <c r="Q265" s="15"/>
      <c r="R265" s="15"/>
      <c r="S265" s="15"/>
      <c r="T265" s="15"/>
      <c r="U265" s="229" t="s">
        <v>193</v>
      </c>
      <c r="V265" s="272" t="s">
        <v>192</v>
      </c>
      <c r="W265" s="225"/>
      <c r="X265" s="944">
        <f>SUMIFS(COMPRAS!BG:BG,COMPRAS!BF:BF,V265,COMPRAS!CS:CS,"&lt;&gt;01-REGIMEN GENERAL",COMPRAS!DD:DD,"=SI")+SUMIFS(COMPRAS!BP:BP,COMPRAS!BO:BO,V265,COMPRAS!CS:CS,"&lt;&gt;01-REGIMEN GENERAL",COMPRAS!DD:DD,"=SI")+SUMIFS(COMPRAS!BY:BY,COMPRAS!BX:BX,V265,COMPRAS!CS:CS,"&lt;&gt;01-REGIMEN GENERAL",COMPRAS!DD:DD,"=SI")</f>
        <v>0</v>
      </c>
      <c r="Y265" s="945"/>
      <c r="Z265" s="945"/>
      <c r="AA265" s="945"/>
      <c r="AB265" s="224"/>
      <c r="AC265" s="52"/>
      <c r="AD265" s="227"/>
      <c r="AE265" s="944">
        <f>SUMIFS(COMPRAS!BI:BI,COMPRAS!BF:BF,V265,COMPRAS!CS:CS,"&lt;&gt;01-REGIMEN GENERAL",COMPRAS!DD:DD,"=SI")+SUMIFS(COMPRAS!BR:BR,COMPRAS!BO:BO,V265,COMPRAS!CS:CS,"&lt;&gt;01-REGIMEN GENERAL",COMPRAS!DD:DD,"=SI")+SUMIFS(COMPRAS!CA:CA,COMPRAS!BX:BX,V265,COMPRAS!CS:CS,"&lt;&gt;01-REGIMEN GENERAL",COMPRAS!DD:DD,"=SI")</f>
        <v>0</v>
      </c>
      <c r="AF265" s="945"/>
      <c r="AG265" s="945"/>
      <c r="AH265" s="945"/>
      <c r="AI265" s="206"/>
    </row>
    <row r="266" spans="1:37" ht="21" hidden="1" customHeight="1" outlineLevel="2" x14ac:dyDescent="0.35">
      <c r="A266" s="979"/>
      <c r="B266" s="980"/>
      <c r="C266" s="988"/>
      <c r="D266" s="15"/>
      <c r="E266" s="15"/>
      <c r="F266" s="15"/>
      <c r="G266" s="15"/>
      <c r="H266" s="15"/>
      <c r="I266" s="15"/>
      <c r="J266" s="15"/>
      <c r="K266" s="15"/>
      <c r="L266" s="15"/>
      <c r="M266" s="15"/>
      <c r="N266" s="15"/>
      <c r="O266" s="15"/>
      <c r="P266" s="15"/>
      <c r="Q266" s="15"/>
      <c r="R266" s="15"/>
      <c r="S266" s="15"/>
      <c r="T266" s="15"/>
      <c r="U266" s="229" t="s">
        <v>195</v>
      </c>
      <c r="V266" s="272" t="s">
        <v>194</v>
      </c>
      <c r="W266" s="225"/>
      <c r="X266" s="944">
        <f>SUMIFS(COMPRAS!BG:BG,COMPRAS!BF:BF,V266,COMPRAS!CS:CS,"&lt;&gt;01-REGIMEN GENERAL",COMPRAS!DD:DD,"=SI")+SUMIFS(COMPRAS!BP:BP,COMPRAS!BO:BO,V266,COMPRAS!CS:CS,"&lt;&gt;01-REGIMEN GENERAL",COMPRAS!DD:DD,"=SI")+SUMIFS(COMPRAS!BY:BY,COMPRAS!BX:BX,V266,COMPRAS!CS:CS,"&lt;&gt;01-REGIMEN GENERAL",COMPRAS!DD:DD,"=SI")</f>
        <v>0</v>
      </c>
      <c r="Y266" s="945"/>
      <c r="Z266" s="945"/>
      <c r="AA266" s="945"/>
      <c r="AB266" s="224"/>
      <c r="AC266" s="52"/>
      <c r="AD266" s="227"/>
      <c r="AE266" s="944">
        <f>SUMIFS(COMPRAS!BI:BI,COMPRAS!BF:BF,V266,COMPRAS!CS:CS,"&lt;&gt;01-REGIMEN GENERAL",COMPRAS!DD:DD,"=SI")+SUMIFS(COMPRAS!BR:BR,COMPRAS!BO:BO,V266,COMPRAS!CS:CS,"&lt;&gt;01-REGIMEN GENERAL",COMPRAS!DD:DD,"=SI")+SUMIFS(COMPRAS!CA:CA,COMPRAS!BX:BX,V266,COMPRAS!CS:CS,"&lt;&gt;01-REGIMEN GENERAL",COMPRAS!DD:DD,"=SI")</f>
        <v>0</v>
      </c>
      <c r="AF266" s="945"/>
      <c r="AG266" s="945"/>
      <c r="AH266" s="945"/>
      <c r="AI266" s="206"/>
    </row>
    <row r="267" spans="1:37" ht="21" hidden="1" customHeight="1" outlineLevel="2" x14ac:dyDescent="0.35">
      <c r="A267" s="979"/>
      <c r="B267" s="980"/>
      <c r="C267" s="988"/>
      <c r="D267" s="15"/>
      <c r="E267" s="15"/>
      <c r="F267" s="15"/>
      <c r="G267" s="15"/>
      <c r="H267" s="15"/>
      <c r="I267" s="15"/>
      <c r="J267" s="15"/>
      <c r="K267" s="15"/>
      <c r="L267" s="15"/>
      <c r="M267" s="15"/>
      <c r="N267" s="15"/>
      <c r="O267" s="15"/>
      <c r="P267" s="15"/>
      <c r="Q267" s="15"/>
      <c r="R267" s="15"/>
      <c r="S267" s="15"/>
      <c r="T267" s="15"/>
      <c r="U267" s="245" t="s">
        <v>197</v>
      </c>
      <c r="V267" s="272" t="s">
        <v>196</v>
      </c>
      <c r="W267" s="225"/>
      <c r="X267" s="944">
        <f>SUMIFS(COMPRAS!BG:BG,COMPRAS!BF:BF,V267,COMPRAS!CS:CS,"&lt;&gt;01-REGIMEN GENERAL",COMPRAS!DD:DD,"=SI")+SUMIFS(COMPRAS!BP:BP,COMPRAS!BO:BO,V267,COMPRAS!CS:CS,"&lt;&gt;01-REGIMEN GENERAL",COMPRAS!DD:DD,"=SI")+SUMIFS(COMPRAS!BY:BY,COMPRAS!BX:BX,V267,COMPRAS!CS:CS,"&lt;&gt;01-REGIMEN GENERAL",COMPRAS!DD:DD,"=SI")</f>
        <v>0</v>
      </c>
      <c r="Y267" s="945"/>
      <c r="Z267" s="945"/>
      <c r="AA267" s="945"/>
      <c r="AB267" s="224"/>
      <c r="AC267" s="52"/>
      <c r="AD267" s="227"/>
      <c r="AE267" s="944">
        <f>SUMIFS(COMPRAS!BI:BI,COMPRAS!BF:BF,V267,COMPRAS!CS:CS,"&lt;&gt;01-REGIMEN GENERAL",COMPRAS!DD:DD,"=SI")+SUMIFS(COMPRAS!BR:BR,COMPRAS!BO:BO,V267,COMPRAS!CS:CS,"&lt;&gt;01-REGIMEN GENERAL",COMPRAS!DD:DD,"=SI")+SUMIFS(COMPRAS!CA:CA,COMPRAS!BX:BX,V267,COMPRAS!CS:CS,"&lt;&gt;01-REGIMEN GENERAL",COMPRAS!DD:DD,"=SI")</f>
        <v>0</v>
      </c>
      <c r="AF267" s="945"/>
      <c r="AG267" s="945"/>
      <c r="AH267" s="945"/>
      <c r="AI267" s="206"/>
    </row>
    <row r="268" spans="1:37" ht="21" customHeight="1" outlineLevel="1" collapsed="1" x14ac:dyDescent="0.35">
      <c r="A268" s="979"/>
      <c r="B268" s="980"/>
      <c r="C268" s="988"/>
      <c r="D268" s="43" t="s">
        <v>948</v>
      </c>
      <c r="E268" s="43"/>
      <c r="F268" s="43"/>
      <c r="G268" s="43"/>
      <c r="H268" s="43"/>
      <c r="I268" s="43"/>
      <c r="J268" s="43"/>
      <c r="K268" s="43"/>
      <c r="L268" s="43"/>
      <c r="M268" s="43"/>
      <c r="N268" s="43"/>
      <c r="O268" s="43"/>
      <c r="P268" s="43"/>
      <c r="Q268" s="43"/>
      <c r="R268" s="43"/>
      <c r="S268" s="43"/>
      <c r="T268" s="43"/>
      <c r="U268" s="43"/>
      <c r="V268" s="54">
        <v>425</v>
      </c>
      <c r="W268" s="225" t="s">
        <v>773</v>
      </c>
      <c r="X268" s="944">
        <f>SUM(X269:AA271)</f>
        <v>0</v>
      </c>
      <c r="Y268" s="945"/>
      <c r="Z268" s="945"/>
      <c r="AA268" s="945"/>
      <c r="AB268" s="230"/>
      <c r="AC268" s="54">
        <v>475</v>
      </c>
      <c r="AD268" s="227" t="s">
        <v>773</v>
      </c>
      <c r="AE268" s="944">
        <f>SUM(AE269:AH271)</f>
        <v>0</v>
      </c>
      <c r="AF268" s="945"/>
      <c r="AG268" s="945"/>
      <c r="AH268" s="945"/>
      <c r="AI268" s="206"/>
    </row>
    <row r="269" spans="1:37" ht="21" hidden="1" customHeight="1" outlineLevel="2" x14ac:dyDescent="0.35">
      <c r="A269" s="979"/>
      <c r="B269" s="980"/>
      <c r="C269" s="988"/>
      <c r="D269" s="15"/>
      <c r="E269" s="15"/>
      <c r="F269" s="15"/>
      <c r="G269" s="15"/>
      <c r="H269" s="15"/>
      <c r="I269" s="15"/>
      <c r="J269" s="15"/>
      <c r="K269" s="15"/>
      <c r="L269" s="15"/>
      <c r="M269" s="15"/>
      <c r="N269" s="15"/>
      <c r="O269" s="15"/>
      <c r="P269" s="15"/>
      <c r="Q269" s="15"/>
      <c r="R269" s="15"/>
      <c r="S269" s="15"/>
      <c r="T269" s="15"/>
      <c r="U269" s="229" t="s">
        <v>1086</v>
      </c>
      <c r="V269" s="272" t="s">
        <v>186</v>
      </c>
      <c r="W269" s="225" t="s">
        <v>773</v>
      </c>
      <c r="X269" s="944">
        <f>SUMIFS(COMPRAS!BG:BG,COMPRAS!BF:BF,V269,COMPRAS!CS:CS,"&lt;&gt;01-REGIMEN GENERAL",COMPRAS!DD:DD,"=SI")+SUMIFS(COMPRAS!BP:BP,COMPRAS!BO:BO,V269,COMPRAS!CS:CS,"&lt;&gt;01-REGIMEN GENERAL",COMPRAS!DD:DD,"=SI")+SUMIFS(COMPRAS!BY:BY,COMPRAS!BX:BX,V269,COMPRAS!CS:CS,"&lt;&gt;01-REGIMEN GENERAL",COMPRAS!DD:DD,"=SI")</f>
        <v>0</v>
      </c>
      <c r="Y269" s="945"/>
      <c r="Z269" s="945"/>
      <c r="AA269" s="945"/>
      <c r="AB269" s="224"/>
      <c r="AC269" s="54"/>
      <c r="AD269" s="227" t="s">
        <v>773</v>
      </c>
      <c r="AE269" s="944">
        <f>SUMIFS(COMPRAS!BI:BI,COMPRAS!BF:BF,V269,COMPRAS!CS:CS,"&lt;&gt;01-REGIMEN GENERAL",COMPRAS!DD:DD,"=SI")+SUMIFS(COMPRAS!BR:BR,COMPRAS!BO:BO,V269,COMPRAS!CS:CS,"&lt;&gt;01-REGIMEN GENERAL",COMPRAS!DD:DD,"=SI")+SUMIFS(COMPRAS!CA:CA,COMPRAS!BX:BX,V269,COMPRAS!CS:CS,"&lt;&gt;01-REGIMEN GENERAL",COMPRAS!DD:DD,"=SI")</f>
        <v>0</v>
      </c>
      <c r="AF269" s="945"/>
      <c r="AG269" s="945"/>
      <c r="AH269" s="945"/>
      <c r="AI269" s="206"/>
    </row>
    <row r="270" spans="1:37" ht="21" hidden="1" customHeight="1" outlineLevel="2" x14ac:dyDescent="0.35">
      <c r="A270" s="979"/>
      <c r="B270" s="980"/>
      <c r="C270" s="988"/>
      <c r="D270" s="15"/>
      <c r="E270" s="15"/>
      <c r="F270" s="15"/>
      <c r="G270" s="15"/>
      <c r="H270" s="15"/>
      <c r="I270" s="15"/>
      <c r="J270" s="15"/>
      <c r="K270" s="15"/>
      <c r="L270" s="15"/>
      <c r="M270" s="15"/>
      <c r="N270" s="15"/>
      <c r="O270" s="15"/>
      <c r="P270" s="15"/>
      <c r="Q270" s="15"/>
      <c r="R270" s="15"/>
      <c r="S270" s="15"/>
      <c r="T270" s="15"/>
      <c r="U270" s="229" t="s">
        <v>1088</v>
      </c>
      <c r="V270" s="272" t="s">
        <v>188</v>
      </c>
      <c r="W270" s="225" t="s">
        <v>773</v>
      </c>
      <c r="X270" s="944">
        <f>SUMIFS(COMPRAS!BG:BG,COMPRAS!BF:BF,V270,COMPRAS!CS:CS,"&lt;&gt;01-REGIMEN GENERAL",COMPRAS!DD:DD,"=SI")+SUMIFS(COMPRAS!BP:BP,COMPRAS!BO:BO,V270,COMPRAS!CS:CS,"&lt;&gt;01-REGIMEN GENERAL",COMPRAS!DD:DD,"=SI")+SUMIFS(COMPRAS!BY:BY,COMPRAS!BX:BX,V270,COMPRAS!CS:CS,"&lt;&gt;01-REGIMEN GENERAL",COMPRAS!DD:DD,"=SI")</f>
        <v>0</v>
      </c>
      <c r="Y270" s="945"/>
      <c r="Z270" s="945"/>
      <c r="AA270" s="945"/>
      <c r="AB270" s="224"/>
      <c r="AC270" s="54"/>
      <c r="AD270" s="227" t="s">
        <v>773</v>
      </c>
      <c r="AE270" s="944">
        <f>SUMIFS(COMPRAS!BI:BI,COMPRAS!BF:BF,V270,COMPRAS!CS:CS,"&lt;&gt;01-REGIMEN GENERAL",COMPRAS!DD:DD,"=SI")+SUMIFS(COMPRAS!BR:BR,COMPRAS!BO:BO,V270,COMPRAS!CS:CS,"&lt;&gt;01-REGIMEN GENERAL",COMPRAS!DD:DD,"=SI")+SUMIFS(COMPRAS!CA:CA,COMPRAS!BX:BX,V270,COMPRAS!CS:CS,"&lt;&gt;01-REGIMEN GENERAL",COMPRAS!DD:DD,"=SI")</f>
        <v>0</v>
      </c>
      <c r="AF270" s="945"/>
      <c r="AG270" s="945"/>
      <c r="AH270" s="945"/>
      <c r="AI270" s="206"/>
    </row>
    <row r="271" spans="1:37" ht="21" hidden="1" customHeight="1" outlineLevel="2" x14ac:dyDescent="0.35">
      <c r="A271" s="979"/>
      <c r="B271" s="980"/>
      <c r="C271" s="988"/>
      <c r="D271" s="15"/>
      <c r="E271" s="15"/>
      <c r="F271" s="15"/>
      <c r="G271" s="15"/>
      <c r="H271" s="15"/>
      <c r="I271" s="15"/>
      <c r="J271" s="15"/>
      <c r="K271" s="15"/>
      <c r="L271" s="15"/>
      <c r="M271" s="15"/>
      <c r="N271" s="15"/>
      <c r="O271" s="15"/>
      <c r="P271" s="15"/>
      <c r="Q271" s="15"/>
      <c r="R271" s="15"/>
      <c r="S271" s="15"/>
      <c r="T271" s="15"/>
      <c r="U271" s="229" t="s">
        <v>1072</v>
      </c>
      <c r="V271" s="272" t="s">
        <v>1071</v>
      </c>
      <c r="W271" s="225" t="s">
        <v>773</v>
      </c>
      <c r="X271" s="944">
        <f>SUMIFS(COMPRAS!BG:BG,COMPRAS!BF:BF,V271,COMPRAS!CS:CS,"&lt;&gt;01-REGIMEN GENERAL",COMPRAS!DD:DD,"=SI")+SUMIFS(COMPRAS!BP:BP,COMPRAS!BO:BO,V271,COMPRAS!CS:CS,"&lt;&gt;01-REGIMEN GENERAL",COMPRAS!DD:DD,"=SI")+SUMIFS(COMPRAS!BY:BY,COMPRAS!BX:BX,V271,COMPRAS!CS:CS,"&lt;&gt;01-REGIMEN GENERAL",COMPRAS!DD:DD,"=SI")</f>
        <v>0</v>
      </c>
      <c r="Y271" s="945"/>
      <c r="Z271" s="945"/>
      <c r="AA271" s="945"/>
      <c r="AB271" s="224"/>
      <c r="AC271" s="54"/>
      <c r="AD271" s="227" t="s">
        <v>773</v>
      </c>
      <c r="AE271" s="944">
        <f>SUMIFS(COMPRAS!BI:BI,COMPRAS!BF:BF,V271,COMPRAS!CS:CS,"&lt;&gt;01-REGIMEN GENERAL",COMPRAS!DD:DD,"=SI")+SUMIFS(COMPRAS!BR:BR,COMPRAS!BO:BO,V271,COMPRAS!CS:CS,"&lt;&gt;01-REGIMEN GENERAL",COMPRAS!DD:DD,"=SI")+SUMIFS(COMPRAS!CA:CA,COMPRAS!BX:BX,V271,COMPRAS!CS:CS,"&lt;&gt;01-REGIMEN GENERAL",COMPRAS!DD:DD,"=SI")</f>
        <v>0</v>
      </c>
      <c r="AF271" s="945"/>
      <c r="AG271" s="945"/>
      <c r="AH271" s="945"/>
      <c r="AI271" s="206"/>
    </row>
    <row r="272" spans="1:37" ht="21" customHeight="1" outlineLevel="1" collapsed="1" x14ac:dyDescent="0.35">
      <c r="A272" s="979"/>
      <c r="B272" s="980"/>
      <c r="C272" s="988"/>
      <c r="D272" s="15" t="s">
        <v>947</v>
      </c>
      <c r="E272" s="15"/>
      <c r="F272" s="15"/>
      <c r="G272" s="15"/>
      <c r="H272" s="15"/>
      <c r="I272" s="15"/>
      <c r="J272" s="15"/>
      <c r="K272" s="15"/>
      <c r="L272" s="15"/>
      <c r="M272" s="15"/>
      <c r="N272" s="15"/>
      <c r="O272" s="15"/>
      <c r="P272" s="15"/>
      <c r="Q272" s="15"/>
      <c r="R272" s="15"/>
      <c r="S272" s="15"/>
      <c r="T272" s="15"/>
      <c r="U272" s="130"/>
      <c r="V272" s="226">
        <v>426</v>
      </c>
      <c r="W272" s="225" t="s">
        <v>773</v>
      </c>
      <c r="X272" s="944">
        <f>SUM(X273)</f>
        <v>0</v>
      </c>
      <c r="Y272" s="945"/>
      <c r="Z272" s="945"/>
      <c r="AA272" s="945"/>
      <c r="AB272" s="224"/>
      <c r="AC272" s="54">
        <v>476</v>
      </c>
      <c r="AD272" s="227" t="s">
        <v>773</v>
      </c>
      <c r="AE272" s="944">
        <f>SUM(AE273)</f>
        <v>0</v>
      </c>
      <c r="AF272" s="945"/>
      <c r="AG272" s="945"/>
      <c r="AH272" s="945"/>
      <c r="AI272" s="206"/>
    </row>
    <row r="273" spans="1:35" ht="21" hidden="1" customHeight="1" outlineLevel="2" x14ac:dyDescent="0.35">
      <c r="A273" s="979"/>
      <c r="B273" s="980"/>
      <c r="C273" s="988"/>
      <c r="D273" s="15"/>
      <c r="E273" s="15"/>
      <c r="F273" s="15"/>
      <c r="G273" s="15"/>
      <c r="H273" s="15"/>
      <c r="I273" s="15"/>
      <c r="J273" s="15"/>
      <c r="K273" s="15"/>
      <c r="L273" s="15"/>
      <c r="M273" s="15"/>
      <c r="N273" s="15"/>
      <c r="O273" s="15"/>
      <c r="P273" s="15"/>
      <c r="Q273" s="15"/>
      <c r="R273" s="15"/>
      <c r="S273" s="15"/>
      <c r="T273" s="15"/>
      <c r="U273" s="229" t="s">
        <v>1081</v>
      </c>
      <c r="V273" s="228">
        <v>504</v>
      </c>
      <c r="W273" s="225"/>
      <c r="X273" s="944">
        <f>SUMIFS(COMPRAS!BG:BG,COMPRAS!BF:BF,V273,COMPRAS!CS:CS,"&lt;&gt;01-REGIMEN GENERAL",COMPRAS!DD:DD,"=SI")+SUMIFS(COMPRAS!BP:BP,COMPRAS!BO:BO,V273,COMPRAS!CS:CS,"&lt;&gt;01-REGIMEN GENERAL",COMPRAS!DD:DD,"=SI")+SUMIFS(COMPRAS!BY:BY,COMPRAS!BX:BX,V273,COMPRAS!CS:CS,"&lt;&gt;01-REGIMEN GENERAL",COMPRAS!DD:DD,"=SI")</f>
        <v>0</v>
      </c>
      <c r="Y273" s="945"/>
      <c r="Z273" s="945"/>
      <c r="AA273" s="945"/>
      <c r="AB273" s="224"/>
      <c r="AC273" s="54"/>
      <c r="AD273" s="227"/>
      <c r="AE273" s="944">
        <f>SUMIFS(COMPRAS!BI:BI,COMPRAS!BF:BF,V273,COMPRAS!CS:CS,"&lt;&gt;01-REGIMEN GENERAL",COMPRAS!DD:DD,"=SI")+SUMIFS(COMPRAS!BR:BR,COMPRAS!BO:BO,V273,COMPRAS!CS:CS,"&lt;&gt;01-REGIMEN GENERAL",COMPRAS!DD:DD,"=SI")+SUMIFS(COMPRAS!CA:CA,COMPRAS!BX:BX,V273,COMPRAS!CS:CS,"&lt;&gt;01-REGIMEN GENERAL",COMPRAS!DD:DD,"=SI")</f>
        <v>0</v>
      </c>
      <c r="AF273" s="945"/>
      <c r="AG273" s="945"/>
      <c r="AH273" s="945"/>
      <c r="AI273" s="206"/>
    </row>
    <row r="274" spans="1:35" ht="21" customHeight="1" outlineLevel="1" collapsed="1" x14ac:dyDescent="0.35">
      <c r="A274" s="979"/>
      <c r="B274" s="980"/>
      <c r="C274" s="988"/>
      <c r="D274" s="15" t="s">
        <v>946</v>
      </c>
      <c r="E274" s="15"/>
      <c r="F274" s="15"/>
      <c r="G274" s="15"/>
      <c r="H274" s="15"/>
      <c r="I274" s="15"/>
      <c r="J274" s="15"/>
      <c r="K274" s="15"/>
      <c r="L274" s="15"/>
      <c r="M274" s="15"/>
      <c r="N274" s="15"/>
      <c r="O274" s="15"/>
      <c r="P274" s="15"/>
      <c r="Q274" s="15"/>
      <c r="R274" s="15"/>
      <c r="S274" s="15"/>
      <c r="T274" s="15"/>
      <c r="U274" s="130"/>
      <c r="V274" s="226">
        <v>427</v>
      </c>
      <c r="W274" s="225" t="s">
        <v>773</v>
      </c>
      <c r="X274" s="944">
        <f>SUM(X275:AA275)</f>
        <v>0</v>
      </c>
      <c r="Y274" s="945"/>
      <c r="Z274" s="945"/>
      <c r="AA274" s="945"/>
      <c r="AB274" s="224"/>
      <c r="AC274" s="54">
        <v>477</v>
      </c>
      <c r="AD274" s="227" t="s">
        <v>773</v>
      </c>
      <c r="AE274" s="944">
        <f>SUM(AE275:AH275)</f>
        <v>0</v>
      </c>
      <c r="AF274" s="945"/>
      <c r="AG274" s="945"/>
      <c r="AH274" s="945"/>
      <c r="AI274" s="206"/>
    </row>
    <row r="275" spans="1:35" ht="21" hidden="1" customHeight="1" outlineLevel="2" x14ac:dyDescent="0.35">
      <c r="A275" s="979"/>
      <c r="B275" s="980"/>
      <c r="C275" s="988"/>
      <c r="D275" s="15"/>
      <c r="E275" s="15"/>
      <c r="F275" s="15"/>
      <c r="G275" s="15"/>
      <c r="H275" s="15"/>
      <c r="I275" s="15"/>
      <c r="J275" s="15"/>
      <c r="K275" s="15"/>
      <c r="L275" s="15"/>
      <c r="M275" s="15"/>
      <c r="N275" s="15"/>
      <c r="O275" s="15"/>
      <c r="P275" s="15"/>
      <c r="Q275" s="15"/>
      <c r="R275" s="15"/>
      <c r="S275" s="15"/>
      <c r="T275" s="15"/>
      <c r="U275" s="229" t="s">
        <v>1083</v>
      </c>
      <c r="V275" s="228" t="s">
        <v>183</v>
      </c>
      <c r="W275" s="225"/>
      <c r="X275" s="944">
        <f>SUMIFS(COMPRAS!BG:BG,COMPRAS!BF:BF,V275,COMPRAS!CS:CS,"&lt;&gt;01-REGIMEN GENERAL",COMPRAS!DD:DD,"=SI")+SUMIFS(COMPRAS!BP:BP,COMPRAS!BO:BO,V275,COMPRAS!CS:CS,"&lt;&gt;01-REGIMEN GENERAL",COMPRAS!DD:DD,"=SI")+SUMIFS(COMPRAS!BY:BY,COMPRAS!BX:BX,V275,COMPRAS!CS:CS,"&lt;&gt;01-REGIMEN GENERAL",COMPRAS!DD:DD,"=SI")</f>
        <v>0</v>
      </c>
      <c r="Y275" s="945"/>
      <c r="Z275" s="945"/>
      <c r="AA275" s="945"/>
      <c r="AB275" s="224"/>
      <c r="AC275" s="52"/>
      <c r="AD275" s="227"/>
      <c r="AE275" s="944">
        <f>SUMIFS(COMPRAS!BI:BI,COMPRAS!BF:BF,V275,COMPRAS!CS:CS,"&lt;&gt;01-REGIMEN GENERAL",COMPRAS!DD:DD,"=SI")+SUMIFS(COMPRAS!BR:BR,COMPRAS!BO:BO,V275,COMPRAS!CS:CS,"&lt;&gt;01-REGIMEN GENERAL",COMPRAS!DD:DD,"=SI")+SUMIFS(COMPRAS!CA:CA,COMPRAS!BX:BX,V275,COMPRAS!CS:CS,"&lt;&gt;01-REGIMEN GENERAL",COMPRAS!DD:DD,"=SI")</f>
        <v>0</v>
      </c>
      <c r="AF275" s="945"/>
      <c r="AG275" s="945"/>
      <c r="AH275" s="945"/>
      <c r="AI275" s="206"/>
    </row>
    <row r="276" spans="1:35" ht="21" customHeight="1" outlineLevel="1" collapsed="1" x14ac:dyDescent="0.35">
      <c r="A276" s="979"/>
      <c r="B276" s="980"/>
      <c r="C276" s="988"/>
      <c r="D276" s="15" t="s">
        <v>945</v>
      </c>
      <c r="E276" s="15"/>
      <c r="F276" s="15"/>
      <c r="G276" s="15"/>
      <c r="H276" s="15"/>
      <c r="I276" s="15"/>
      <c r="J276" s="15"/>
      <c r="K276" s="15"/>
      <c r="L276" s="15"/>
      <c r="M276" s="15"/>
      <c r="N276" s="15"/>
      <c r="O276" s="15"/>
      <c r="P276" s="15"/>
      <c r="Q276" s="15"/>
      <c r="R276" s="15"/>
      <c r="S276" s="15"/>
      <c r="T276" s="15"/>
      <c r="U276" s="130"/>
      <c r="V276" s="226">
        <v>428</v>
      </c>
      <c r="W276" s="225" t="s">
        <v>773</v>
      </c>
      <c r="X276" s="944">
        <f>SUM(X277:AA277)</f>
        <v>0</v>
      </c>
      <c r="Y276" s="945"/>
      <c r="Z276" s="945"/>
      <c r="AA276" s="945"/>
      <c r="AB276" s="224"/>
      <c r="AC276" s="54">
        <v>478</v>
      </c>
      <c r="AD276" s="227" t="s">
        <v>773</v>
      </c>
      <c r="AE276" s="944">
        <f>SUM(AE277:AH277)</f>
        <v>0</v>
      </c>
      <c r="AF276" s="945"/>
      <c r="AG276" s="945"/>
      <c r="AH276" s="945"/>
      <c r="AI276" s="206"/>
    </row>
    <row r="277" spans="1:35" ht="21" hidden="1" customHeight="1" outlineLevel="2" x14ac:dyDescent="0.35">
      <c r="A277" s="979"/>
      <c r="B277" s="980"/>
      <c r="C277" s="988"/>
      <c r="D277" s="15"/>
      <c r="E277" s="15"/>
      <c r="F277" s="15"/>
      <c r="G277" s="15"/>
      <c r="H277" s="15"/>
      <c r="I277" s="15"/>
      <c r="J277" s="15"/>
      <c r="K277" s="15"/>
      <c r="L277" s="15"/>
      <c r="M277" s="15"/>
      <c r="N277" s="15"/>
      <c r="O277" s="15"/>
      <c r="P277" s="15"/>
      <c r="Q277" s="15"/>
      <c r="R277" s="15"/>
      <c r="S277" s="15"/>
      <c r="T277" s="15"/>
      <c r="U277" s="229" t="s">
        <v>1084</v>
      </c>
      <c r="V277" s="228" t="s">
        <v>184</v>
      </c>
      <c r="W277" s="225"/>
      <c r="X277" s="944">
        <f>SUMIFS(COMPRAS!BG:BG,COMPRAS!BF:BF,V277,COMPRAS!CS:CS,"&lt;&gt;01-REGIMEN GENERAL",COMPRAS!DD:DD,"=SI")+SUMIFS(COMPRAS!BP:BP,COMPRAS!BO:BO,V277,COMPRAS!CS:CS,"&lt;&gt;01-REGIMEN GENERAL",COMPRAS!DD:DD,"=SI")+SUMIFS(COMPRAS!BY:BY,COMPRAS!BX:BX,V277,COMPRAS!CS:CS,"&lt;&gt;01-REGIMEN GENERAL",COMPRAS!DD:DD,"=SI")</f>
        <v>0</v>
      </c>
      <c r="Y277" s="945"/>
      <c r="Z277" s="945"/>
      <c r="AA277" s="945"/>
      <c r="AB277" s="224"/>
      <c r="AC277" s="52"/>
      <c r="AD277" s="227"/>
      <c r="AE277" s="944">
        <f>SUMIFS(COMPRAS!BI:BI,COMPRAS!BF:BF,V277,COMPRAS!CS:CS,"&lt;&gt;01-REGIMEN GENERAL",COMPRAS!DD:DD,"=SI")+SUMIFS(COMPRAS!BR:BR,COMPRAS!BO:BO,V277,COMPRAS!CS:CS,"&lt;&gt;01-REGIMEN GENERAL",COMPRAS!DD:DD,"=SI")+SUMIFS(COMPRAS!CA:CA,COMPRAS!BX:BX,V277,COMPRAS!CS:CS,"&lt;&gt;01-REGIMEN GENERAL",COMPRAS!DD:DD,"=SI")</f>
        <v>0</v>
      </c>
      <c r="AF277" s="945"/>
      <c r="AG277" s="945"/>
      <c r="AH277" s="945"/>
      <c r="AI277" s="206"/>
    </row>
    <row r="278" spans="1:35" ht="21" customHeight="1" outlineLevel="1" collapsed="1" x14ac:dyDescent="0.35">
      <c r="A278" s="979"/>
      <c r="B278" s="980"/>
      <c r="C278" s="988"/>
      <c r="D278" s="15" t="s">
        <v>1216</v>
      </c>
      <c r="E278" s="15"/>
      <c r="F278" s="15"/>
      <c r="G278" s="15"/>
      <c r="H278" s="15"/>
      <c r="I278" s="15"/>
      <c r="J278" s="15"/>
      <c r="K278" s="15"/>
      <c r="L278" s="15"/>
      <c r="M278" s="15"/>
      <c r="N278" s="15"/>
      <c r="O278" s="15"/>
      <c r="P278" s="15"/>
      <c r="Q278" s="15"/>
      <c r="R278" s="15"/>
      <c r="S278" s="15"/>
      <c r="T278" s="15"/>
      <c r="U278" s="130"/>
      <c r="V278" s="226">
        <v>4260</v>
      </c>
      <c r="W278" s="225" t="s">
        <v>773</v>
      </c>
      <c r="X278" s="944">
        <f>SUM(X279)</f>
        <v>0</v>
      </c>
      <c r="Y278" s="945"/>
      <c r="Z278" s="945"/>
      <c r="AA278" s="945"/>
      <c r="AB278" s="224"/>
      <c r="AC278" s="54">
        <v>4760</v>
      </c>
      <c r="AD278" s="227" t="s">
        <v>773</v>
      </c>
      <c r="AE278" s="944">
        <f>SUM(AE279:AH279)</f>
        <v>0</v>
      </c>
      <c r="AF278" s="945"/>
      <c r="AG278" s="945"/>
      <c r="AH278" s="945"/>
      <c r="AI278" s="206"/>
    </row>
    <row r="279" spans="1:35" ht="21" hidden="1" customHeight="1" outlineLevel="2" x14ac:dyDescent="0.35">
      <c r="A279" s="979"/>
      <c r="B279" s="980"/>
      <c r="C279" s="988"/>
      <c r="D279" s="15"/>
      <c r="E279" s="15"/>
      <c r="F279" s="15"/>
      <c r="G279" s="15"/>
      <c r="H279" s="15"/>
      <c r="I279" s="15"/>
      <c r="J279" s="15"/>
      <c r="K279" s="15"/>
      <c r="L279" s="15"/>
      <c r="M279" s="15"/>
      <c r="N279" s="15"/>
      <c r="O279" s="15"/>
      <c r="P279" s="15"/>
      <c r="Q279" s="15"/>
      <c r="R279" s="15"/>
      <c r="S279" s="15"/>
      <c r="T279" s="15"/>
      <c r="U279" s="229" t="s">
        <v>1153</v>
      </c>
      <c r="V279" s="228">
        <v>504</v>
      </c>
      <c r="W279" s="225"/>
      <c r="X279" s="944">
        <f>SUMIFS(COMPRAS!BG:BG,COMPRAS!BF:BF,V279,COMPRAS!CS:CS,"&lt;&gt;01-REGIMEN GENERAL",COMPRAS!DD:DD,"=SI")+SUMIFS(COMPRAS!BP:BP,COMPRAS!BO:BO,V279,COMPRAS!CS:CS,"&lt;&gt;01-REGIMEN GENERAL",COMPRAS!DD:DD,"=SI")+SUMIFS(COMPRAS!BY:BY,COMPRAS!BX:BX,V279,COMPRAS!CS:CS,"&lt;&gt;01-REGIMEN GENERAL",COMPRAS!DD:DD,"=SI")</f>
        <v>0</v>
      </c>
      <c r="Y279" s="945"/>
      <c r="Z279" s="945"/>
      <c r="AA279" s="945"/>
      <c r="AB279" s="224"/>
      <c r="AC279" s="54"/>
      <c r="AD279" s="227"/>
      <c r="AE279" s="944">
        <f>SUMIFS(COMPRAS!BI:BI,COMPRAS!BF:BF,V279,COMPRAS!CS:CS,"&lt;&gt;01-REGIMEN GENERAL",COMPRAS!DD:DD,"=SI")+SUMIFS(COMPRAS!BR:BR,COMPRAS!BO:BO,V279,COMPRAS!CS:CS,"&lt;&gt;01-REGIMEN GENERAL",COMPRAS!DD:DD,"=SI")+SUMIFS(COMPRAS!CA:CA,COMPRAS!BX:BX,V279,COMPRAS!CS:CS,"&lt;&gt;01-REGIMEN GENERAL",COMPRAS!DD:DD,"=SI")</f>
        <v>0</v>
      </c>
      <c r="AF279" s="945"/>
      <c r="AG279" s="945"/>
      <c r="AH279" s="945"/>
      <c r="AI279" s="206"/>
    </row>
    <row r="280" spans="1:35" ht="21" customHeight="1" outlineLevel="1" collapsed="1" x14ac:dyDescent="0.35">
      <c r="A280" s="979"/>
      <c r="B280" s="980"/>
      <c r="C280" s="988"/>
      <c r="D280" s="15" t="s">
        <v>1217</v>
      </c>
      <c r="E280" s="15"/>
      <c r="F280" s="15"/>
      <c r="G280" s="15"/>
      <c r="H280" s="15"/>
      <c r="I280" s="15"/>
      <c r="J280" s="15"/>
      <c r="K280" s="15"/>
      <c r="L280" s="15"/>
      <c r="M280" s="15"/>
      <c r="N280" s="15"/>
      <c r="O280" s="15"/>
      <c r="P280" s="15"/>
      <c r="Q280" s="15"/>
      <c r="R280" s="15"/>
      <c r="S280" s="15"/>
      <c r="T280" s="15"/>
      <c r="U280" s="130"/>
      <c r="V280" s="226">
        <v>4270</v>
      </c>
      <c r="W280" s="225" t="s">
        <v>773</v>
      </c>
      <c r="X280" s="944">
        <f>SUM(X281:AA282)</f>
        <v>0</v>
      </c>
      <c r="Y280" s="945"/>
      <c r="Z280" s="945"/>
      <c r="AA280" s="945"/>
      <c r="AB280" s="224"/>
      <c r="AC280" s="54">
        <v>4770</v>
      </c>
      <c r="AD280" s="227" t="s">
        <v>773</v>
      </c>
      <c r="AE280" s="944">
        <f>SUM(AE281:AH282)</f>
        <v>0</v>
      </c>
      <c r="AF280" s="945"/>
      <c r="AG280" s="945"/>
      <c r="AH280" s="945"/>
      <c r="AI280" s="206"/>
    </row>
    <row r="281" spans="1:35" ht="21" hidden="1" customHeight="1" outlineLevel="2" x14ac:dyDescent="0.35">
      <c r="A281" s="979"/>
      <c r="B281" s="980"/>
      <c r="C281" s="988"/>
      <c r="D281" s="15"/>
      <c r="E281" s="15"/>
      <c r="F281" s="15"/>
      <c r="G281" s="15"/>
      <c r="H281" s="15"/>
      <c r="I281" s="15"/>
      <c r="J281" s="15"/>
      <c r="K281" s="15"/>
      <c r="L281" s="15"/>
      <c r="M281" s="15"/>
      <c r="N281" s="15"/>
      <c r="O281" s="15"/>
      <c r="P281" s="15"/>
      <c r="Q281" s="15"/>
      <c r="R281" s="15"/>
      <c r="S281" s="15"/>
      <c r="T281" s="15"/>
      <c r="U281" s="229" t="s">
        <v>1219</v>
      </c>
      <c r="V281" s="228" t="s">
        <v>183</v>
      </c>
      <c r="W281" s="225"/>
      <c r="X281" s="944">
        <f>SUMIFS(COMPRAS!BG:BG,COMPRAS!BF:BF,V281,COMPRAS!CS:CS,"&lt;&gt;01-REGIMEN GENERAL",COMPRAS!DD:DD,"=SI")+SUMIFS(COMPRAS!BP:BP,COMPRAS!BO:BO,V281,COMPRAS!CS:CS,"&lt;&gt;01-REGIMEN GENERAL",COMPRAS!DD:DD,"=SI")+SUMIFS(COMPRAS!BY:BY,COMPRAS!BX:BX,V281,COMPRAS!CS:CS,"&lt;&gt;01-REGIMEN GENERAL",COMPRAS!DD:DD,"=SI")</f>
        <v>0</v>
      </c>
      <c r="Y281" s="945"/>
      <c r="Z281" s="945"/>
      <c r="AA281" s="945"/>
      <c r="AB281" s="224"/>
      <c r="AC281" s="54"/>
      <c r="AD281" s="227"/>
      <c r="AE281" s="944">
        <f>SUMIFS(COMPRAS!BI:BI,COMPRAS!BF:BF,V281,COMPRAS!CS:CS,"&lt;&gt;01-REGIMEN GENERAL",COMPRAS!DD:DD,"=SI")+SUMIFS(COMPRAS!BR:BR,COMPRAS!BO:BO,V281,COMPRAS!CS:CS,"&lt;&gt;01-REGIMEN GENERAL",COMPRAS!DD:DD,"=SI")+SUMIFS(COMPRAS!CA:CA,COMPRAS!BX:BX,V281,COMPRAS!CS:CS,"&lt;&gt;01-REGIMEN GENERAL",COMPRAS!DD:DD,"=SI")</f>
        <v>0</v>
      </c>
      <c r="AF281" s="945"/>
      <c r="AG281" s="945"/>
      <c r="AH281" s="945"/>
      <c r="AI281" s="206"/>
    </row>
    <row r="282" spans="1:35" ht="21" hidden="1" customHeight="1" outlineLevel="2" x14ac:dyDescent="0.35">
      <c r="A282" s="979"/>
      <c r="B282" s="980"/>
      <c r="C282" s="988"/>
      <c r="D282" s="15"/>
      <c r="E282" s="15"/>
      <c r="F282" s="15"/>
      <c r="G282" s="15"/>
      <c r="H282" s="15"/>
      <c r="I282" s="15"/>
      <c r="J282" s="15"/>
      <c r="K282" s="15"/>
      <c r="L282" s="15"/>
      <c r="M282" s="15"/>
      <c r="N282" s="15"/>
      <c r="O282" s="15"/>
      <c r="P282" s="15"/>
      <c r="Q282" s="15"/>
      <c r="R282" s="15"/>
      <c r="S282" s="15"/>
      <c r="T282" s="15"/>
      <c r="U282" s="229" t="s">
        <v>1157</v>
      </c>
      <c r="V282" s="228" t="s">
        <v>184</v>
      </c>
      <c r="W282" s="225"/>
      <c r="X282" s="944">
        <f>SUMIFS(COMPRAS!BG:BG,COMPRAS!BF:BF,V282,COMPRAS!CS:CS,"&lt;&gt;01-REGIMEN GENERAL",COMPRAS!DD:DD,"=SI")+SUMIFS(COMPRAS!BP:BP,COMPRAS!BO:BO,V282,COMPRAS!CS:CS,"&lt;&gt;01-REGIMEN GENERAL",COMPRAS!DD:DD,"=SI")+SUMIFS(COMPRAS!BY:BY,COMPRAS!BX:BX,V282,COMPRAS!CS:CS,"&lt;&gt;01-REGIMEN GENERAL",COMPRAS!DD:DD,"=SI")</f>
        <v>0</v>
      </c>
      <c r="Y282" s="945"/>
      <c r="Z282" s="945"/>
      <c r="AA282" s="945"/>
      <c r="AB282" s="224"/>
      <c r="AC282" s="54"/>
      <c r="AD282" s="227"/>
      <c r="AE282" s="944">
        <f>SUMIFS(COMPRAS!BI:BI,COMPRAS!BF:BF,V282,COMPRAS!CS:CS,"&lt;&gt;01-REGIMEN GENERAL",COMPRAS!DD:DD,"=SI")+SUMIFS(COMPRAS!BR:BR,COMPRAS!BO:BO,V282,COMPRAS!CS:CS,"&lt;&gt;01-REGIMEN GENERAL",COMPRAS!DD:DD,"=SI")+SUMIFS(COMPRAS!CA:CA,COMPRAS!BX:BX,V282,COMPRAS!CS:CS,"&lt;&gt;01-REGIMEN GENERAL",COMPRAS!DD:DD,"=SI")</f>
        <v>0</v>
      </c>
      <c r="AF282" s="945"/>
      <c r="AG282" s="945"/>
      <c r="AH282" s="945"/>
      <c r="AI282" s="206"/>
    </row>
    <row r="283" spans="1:35" ht="21" customHeight="1" outlineLevel="1" collapsed="1" x14ac:dyDescent="0.35">
      <c r="A283" s="979"/>
      <c r="B283" s="980"/>
      <c r="C283" s="988"/>
      <c r="D283" s="15" t="s">
        <v>1218</v>
      </c>
      <c r="E283" s="15"/>
      <c r="F283" s="15"/>
      <c r="G283" s="15"/>
      <c r="H283" s="15"/>
      <c r="I283" s="15"/>
      <c r="J283" s="15"/>
      <c r="K283" s="15"/>
      <c r="L283" s="15"/>
      <c r="M283" s="15"/>
      <c r="N283" s="15"/>
      <c r="O283" s="15"/>
      <c r="P283" s="15"/>
      <c r="Q283" s="15"/>
      <c r="R283" s="15"/>
      <c r="S283" s="15"/>
      <c r="T283" s="15"/>
      <c r="U283" s="130"/>
      <c r="V283" s="226">
        <v>4280</v>
      </c>
      <c r="W283" s="225" t="s">
        <v>773</v>
      </c>
      <c r="X283" s="944">
        <f>SUM(X284)</f>
        <v>0</v>
      </c>
      <c r="Y283" s="945"/>
      <c r="Z283" s="945"/>
      <c r="AA283" s="945"/>
      <c r="AB283" s="224"/>
      <c r="AC283" s="54">
        <v>4780</v>
      </c>
      <c r="AD283" s="227" t="s">
        <v>773</v>
      </c>
      <c r="AE283" s="944">
        <f>SUM(AE284:AH284)</f>
        <v>0</v>
      </c>
      <c r="AF283" s="945"/>
      <c r="AG283" s="945"/>
      <c r="AH283" s="945"/>
      <c r="AI283" s="206"/>
    </row>
    <row r="284" spans="1:35" ht="21" hidden="1" customHeight="1" outlineLevel="2" x14ac:dyDescent="0.35">
      <c r="A284" s="979"/>
      <c r="B284" s="980"/>
      <c r="C284" s="988"/>
      <c r="D284" s="15"/>
      <c r="E284" s="15"/>
      <c r="F284" s="15"/>
      <c r="G284" s="15"/>
      <c r="H284" s="15"/>
      <c r="I284" s="15"/>
      <c r="J284" s="15"/>
      <c r="K284" s="15"/>
      <c r="L284" s="15"/>
      <c r="M284" s="15"/>
      <c r="N284" s="15"/>
      <c r="O284" s="15"/>
      <c r="P284" s="15"/>
      <c r="Q284" s="15"/>
      <c r="R284" s="15"/>
      <c r="S284" s="15"/>
      <c r="T284" s="15"/>
      <c r="U284" s="229" t="s">
        <v>1220</v>
      </c>
      <c r="V284" s="228" t="s">
        <v>182</v>
      </c>
      <c r="W284" s="225"/>
      <c r="X284" s="944">
        <f>SUMIFS(COMPRAS!BG:BG,COMPRAS!BF:BF,V284,COMPRAS!CS:CS,"&lt;&gt;01-REGIMEN GENERAL",COMPRAS!DD:DD,"=SI")+SUMIFS(COMPRAS!BP:BP,COMPRAS!BO:BO,V284,COMPRAS!CS:CS,"&lt;&gt;01-REGIMEN GENERAL",COMPRAS!DD:DD,"=SI")+SUMIFS(COMPRAS!BY:BY,COMPRAS!BX:BX,V284,COMPRAS!CS:CS,"&lt;&gt;01-REGIMEN GENERAL",COMPRAS!DD:DD,"=SI")</f>
        <v>0</v>
      </c>
      <c r="Y284" s="945"/>
      <c r="Z284" s="945"/>
      <c r="AA284" s="945"/>
      <c r="AB284" s="224"/>
      <c r="AC284" s="54"/>
      <c r="AD284" s="227"/>
      <c r="AE284" s="944">
        <f>SUMIFS(COMPRAS!BI:BI,COMPRAS!BF:BF,V284,COMPRAS!CS:CS,"&lt;&gt;01-REGIMEN GENERAL",COMPRAS!DD:DD,"=SI")+SUMIFS(COMPRAS!BR:BR,COMPRAS!BO:BO,V284,COMPRAS!CS:CS,"&lt;&gt;01-REGIMEN GENERAL",COMPRAS!DD:DD,"=SI")+SUMIFS(COMPRAS!CA:CA,COMPRAS!BX:BX,V284,COMPRAS!CS:CS,"&lt;&gt;01-REGIMEN GENERAL",COMPRAS!DD:DD,"=SI")</f>
        <v>0</v>
      </c>
      <c r="AF284" s="945"/>
      <c r="AG284" s="945"/>
      <c r="AH284" s="945"/>
      <c r="AI284" s="206"/>
    </row>
    <row r="285" spans="1:35" ht="21" customHeight="1" outlineLevel="1" collapsed="1" x14ac:dyDescent="0.35">
      <c r="A285" s="979"/>
      <c r="B285" s="980"/>
      <c r="C285" s="988"/>
      <c r="D285" s="15" t="s">
        <v>944</v>
      </c>
      <c r="E285" s="15"/>
      <c r="F285" s="15"/>
      <c r="G285" s="15"/>
      <c r="H285" s="15"/>
      <c r="I285" s="15"/>
      <c r="J285" s="15"/>
      <c r="K285" s="15"/>
      <c r="L285" s="15"/>
      <c r="M285" s="15"/>
      <c r="N285" s="15"/>
      <c r="O285" s="15"/>
      <c r="P285" s="15"/>
      <c r="Q285" s="15"/>
      <c r="R285" s="15"/>
      <c r="S285" s="15"/>
      <c r="T285" s="15"/>
      <c r="U285" s="130"/>
      <c r="V285" s="226">
        <v>429</v>
      </c>
      <c r="W285" s="225" t="s">
        <v>773</v>
      </c>
      <c r="X285" s="944">
        <f>SUM(X286:AA286)</f>
        <v>0</v>
      </c>
      <c r="Y285" s="945"/>
      <c r="Z285" s="945"/>
      <c r="AA285" s="945"/>
      <c r="AB285" s="224"/>
      <c r="AC285" s="54">
        <v>479</v>
      </c>
      <c r="AD285" s="227" t="s">
        <v>773</v>
      </c>
      <c r="AE285" s="944">
        <f>SUM(AE286:AH286)</f>
        <v>0</v>
      </c>
      <c r="AF285" s="945"/>
      <c r="AG285" s="945"/>
      <c r="AH285" s="945"/>
      <c r="AI285" s="206"/>
    </row>
    <row r="286" spans="1:35" ht="21" hidden="1" customHeight="1" outlineLevel="2" x14ac:dyDescent="0.35">
      <c r="A286" s="979"/>
      <c r="B286" s="980"/>
      <c r="C286" s="988"/>
      <c r="D286" s="15"/>
      <c r="E286" s="15"/>
      <c r="F286" s="15"/>
      <c r="G286" s="15"/>
      <c r="H286" s="15"/>
      <c r="I286" s="15"/>
      <c r="J286" s="15"/>
      <c r="K286" s="15"/>
      <c r="L286" s="15"/>
      <c r="M286" s="15"/>
      <c r="N286" s="15"/>
      <c r="O286" s="15"/>
      <c r="P286" s="15"/>
      <c r="Q286" s="15"/>
      <c r="R286" s="15"/>
      <c r="S286" s="15"/>
      <c r="T286" s="15"/>
      <c r="U286" s="229" t="s">
        <v>229</v>
      </c>
      <c r="V286" s="272">
        <v>521</v>
      </c>
      <c r="W286" s="225"/>
      <c r="X286" s="944">
        <f>SUMIFS(COMPRAS!BG:BG,COMPRAS!BF:BF,V286,COMPRAS!CS:CS,"&lt;&gt;01-REGIMEN GENERAL",COMPRAS!DD:DD,"=SI")+SUMIFS(COMPRAS!BP:BP,COMPRAS!BO:BO,V286,COMPRAS!CS:CS,"&lt;&gt;01-REGIMEN GENERAL",COMPRAS!DD:DD,"=SI")+SUMIFS(COMPRAS!BY:BY,COMPRAS!BX:BX,V286,COMPRAS!CS:CS,"&lt;&gt;01-REGIMEN GENERAL",COMPRAS!DD:DD,"=SI")</f>
        <v>0</v>
      </c>
      <c r="Y286" s="945"/>
      <c r="Z286" s="945"/>
      <c r="AA286" s="945"/>
      <c r="AB286" s="224"/>
      <c r="AC286" s="52"/>
      <c r="AD286" s="227"/>
      <c r="AE286" s="944">
        <f>SUMIFS(COMPRAS!BI:BI,COMPRAS!BF:BF,V286,COMPRAS!CS:CS,"&lt;&gt;01-REGIMEN GENERAL",COMPRAS!DD:DD,"=SI")+SUMIFS(COMPRAS!BR:BR,COMPRAS!BO:BO,V286,COMPRAS!CS:CS,"&lt;&gt;01-REGIMEN GENERAL",COMPRAS!DD:DD,"=SI")+SUMIFS(COMPRAS!CA:CA,COMPRAS!BX:BX,V286,COMPRAS!CS:CS,"&lt;&gt;01-REGIMEN GENERAL",COMPRAS!DD:DD,"=SI")</f>
        <v>0</v>
      </c>
      <c r="AF286" s="945"/>
      <c r="AG286" s="945"/>
      <c r="AH286" s="945"/>
      <c r="AI286" s="206"/>
    </row>
    <row r="287" spans="1:35" ht="21" customHeight="1" outlineLevel="1" collapsed="1" x14ac:dyDescent="0.35">
      <c r="A287" s="979"/>
      <c r="B287" s="980"/>
      <c r="C287" s="988"/>
      <c r="D287" s="15" t="s">
        <v>943</v>
      </c>
      <c r="E287" s="15"/>
      <c r="F287" s="15"/>
      <c r="G287" s="15"/>
      <c r="H287" s="15"/>
      <c r="I287" s="15"/>
      <c r="J287" s="15"/>
      <c r="K287" s="15"/>
      <c r="L287" s="15"/>
      <c r="M287" s="15"/>
      <c r="N287" s="15"/>
      <c r="O287" s="15"/>
      <c r="P287" s="15"/>
      <c r="Q287" s="15"/>
      <c r="R287" s="15"/>
      <c r="S287" s="15"/>
      <c r="T287" s="15"/>
      <c r="U287" s="130"/>
      <c r="V287" s="226">
        <v>430</v>
      </c>
      <c r="W287" s="225" t="s">
        <v>773</v>
      </c>
      <c r="X287" s="944">
        <f>SUM(X288:AA288)</f>
        <v>0</v>
      </c>
      <c r="Y287" s="945"/>
      <c r="Z287" s="945"/>
      <c r="AA287" s="945"/>
      <c r="AB287" s="224"/>
      <c r="AC287" s="54">
        <v>480</v>
      </c>
      <c r="AD287" s="227" t="s">
        <v>773</v>
      </c>
      <c r="AE287" s="944">
        <f>SUM(AE288:AH288)</f>
        <v>0</v>
      </c>
      <c r="AF287" s="945"/>
      <c r="AG287" s="945"/>
      <c r="AH287" s="945"/>
      <c r="AI287" s="206"/>
    </row>
    <row r="288" spans="1:35" ht="21" hidden="1" customHeight="1" outlineLevel="2" x14ac:dyDescent="0.35">
      <c r="A288" s="979"/>
      <c r="B288" s="980"/>
      <c r="C288" s="988"/>
      <c r="D288" s="15"/>
      <c r="E288" s="15"/>
      <c r="F288" s="15"/>
      <c r="G288" s="15"/>
      <c r="H288" s="15"/>
      <c r="I288" s="15"/>
      <c r="J288" s="15"/>
      <c r="K288" s="15"/>
      <c r="L288" s="15"/>
      <c r="M288" s="15"/>
      <c r="N288" s="15"/>
      <c r="O288" s="15"/>
      <c r="P288" s="15"/>
      <c r="Q288" s="15"/>
      <c r="R288" s="15"/>
      <c r="S288" s="15"/>
      <c r="T288" s="15"/>
      <c r="U288" s="229" t="s">
        <v>1089</v>
      </c>
      <c r="V288" s="272" t="s">
        <v>230</v>
      </c>
      <c r="W288" s="225"/>
      <c r="X288" s="944">
        <f>SUMIFS(COMPRAS!BG:BG,COMPRAS!BF:BF,V288,COMPRAS!CS:CS,"&lt;&gt;01-REGIMEN GENERAL",COMPRAS!DD:DD,"=SI")+SUMIFS(COMPRAS!BP:BP,COMPRAS!BO:BO,V288,COMPRAS!CS:CS,"&lt;&gt;01-REGIMEN GENERAL",COMPRAS!DD:DD,"=SI")+SUMIFS(COMPRAS!BY:BY,COMPRAS!BX:BX,V288,COMPRAS!CS:CS,"&lt;&gt;01-REGIMEN GENERAL",COMPRAS!DD:DD,"=SI")</f>
        <v>0</v>
      </c>
      <c r="Y288" s="945"/>
      <c r="Z288" s="945"/>
      <c r="AA288" s="945"/>
      <c r="AB288" s="224"/>
      <c r="AC288" s="52"/>
      <c r="AD288" s="227"/>
      <c r="AE288" s="944">
        <f>SUMIFS(COMPRAS!BI:BI,COMPRAS!BF:BF,V288,COMPRAS!CS:CS,"&lt;&gt;01-REGIMEN GENERAL",COMPRAS!DD:DD,"=SI")+SUMIFS(COMPRAS!BR:BR,COMPRAS!BO:BO,V288,COMPRAS!CS:CS,"&lt;&gt;01-REGIMEN GENERAL",COMPRAS!DD:DD,"=SI")+SUMIFS(COMPRAS!CA:CA,COMPRAS!BX:BX,V288,COMPRAS!CS:CS,"&lt;&gt;01-REGIMEN GENERAL",COMPRAS!DD:DD,"=SI")</f>
        <v>0</v>
      </c>
      <c r="AF288" s="945"/>
      <c r="AG288" s="945"/>
      <c r="AH288" s="945"/>
      <c r="AI288" s="206"/>
    </row>
    <row r="289" spans="1:35" ht="21" customHeight="1" outlineLevel="1" collapsed="1" x14ac:dyDescent="0.35">
      <c r="A289" s="979"/>
      <c r="B289" s="980"/>
      <c r="C289" s="988"/>
      <c r="D289" s="15" t="s">
        <v>942</v>
      </c>
      <c r="E289" s="15"/>
      <c r="F289" s="15"/>
      <c r="G289" s="15"/>
      <c r="H289" s="15"/>
      <c r="I289" s="15"/>
      <c r="J289" s="15"/>
      <c r="K289" s="15"/>
      <c r="L289" s="15"/>
      <c r="M289" s="15"/>
      <c r="N289" s="15"/>
      <c r="O289" s="15"/>
      <c r="P289" s="15"/>
      <c r="Q289" s="15"/>
      <c r="R289" s="15"/>
      <c r="S289" s="15"/>
      <c r="T289" s="15"/>
      <c r="U289" s="130"/>
      <c r="V289" s="226">
        <v>431</v>
      </c>
      <c r="W289" s="225" t="s">
        <v>773</v>
      </c>
      <c r="X289" s="944">
        <f>SUM(X290:AA290)</f>
        <v>0</v>
      </c>
      <c r="Y289" s="945"/>
      <c r="Z289" s="945"/>
      <c r="AA289" s="945"/>
      <c r="AB289" s="224"/>
      <c r="AC289" s="54">
        <v>481</v>
      </c>
      <c r="AD289" s="227" t="s">
        <v>773</v>
      </c>
      <c r="AE289" s="944">
        <f>SUM(AE290:AH290)</f>
        <v>0</v>
      </c>
      <c r="AF289" s="945"/>
      <c r="AG289" s="945"/>
      <c r="AH289" s="945"/>
      <c r="AI289" s="206"/>
    </row>
    <row r="290" spans="1:35" ht="21" hidden="1" customHeight="1" outlineLevel="2" x14ac:dyDescent="0.35">
      <c r="A290" s="979"/>
      <c r="B290" s="980"/>
      <c r="C290" s="988"/>
      <c r="D290" s="15"/>
      <c r="E290" s="15"/>
      <c r="F290" s="15"/>
      <c r="G290" s="15"/>
      <c r="H290" s="15"/>
      <c r="I290" s="15"/>
      <c r="J290" s="15"/>
      <c r="K290" s="15"/>
      <c r="L290" s="15"/>
      <c r="M290" s="15"/>
      <c r="N290" s="15"/>
      <c r="O290" s="15"/>
      <c r="P290" s="15"/>
      <c r="Q290" s="15"/>
      <c r="R290" s="15"/>
      <c r="S290" s="15"/>
      <c r="T290" s="15"/>
      <c r="U290" s="229" t="s">
        <v>1068</v>
      </c>
      <c r="V290" s="272" t="s">
        <v>1067</v>
      </c>
      <c r="W290" s="225"/>
      <c r="X290" s="944">
        <f>SUMIFS(COMPRAS!BG:BG,COMPRAS!BF:BF,V290,COMPRAS!CS:CS,"&lt;&gt;01-REGIMEN GENERAL",COMPRAS!DD:DD,"=SI")+SUMIFS(COMPRAS!BP:BP,COMPRAS!BO:BO,V290,COMPRAS!CS:CS,"&lt;&gt;01-REGIMEN GENERAL",COMPRAS!DD:DD,"=SI")+SUMIFS(COMPRAS!BY:BY,COMPRAS!BX:BX,V290,COMPRAS!CS:CS,"&lt;&gt;01-REGIMEN GENERAL",COMPRAS!DD:DD,"=SI")</f>
        <v>0</v>
      </c>
      <c r="Y290" s="945"/>
      <c r="Z290" s="945"/>
      <c r="AA290" s="945"/>
      <c r="AB290" s="224"/>
      <c r="AC290" s="52"/>
      <c r="AD290" s="227"/>
      <c r="AE290" s="944">
        <f>SUMIFS(COMPRAS!BI:BI,COMPRAS!BF:BF,V290,COMPRAS!CS:CS,"&lt;&gt;01-REGIMEN GENERAL",COMPRAS!DD:DD,"=SI")+SUMIFS(COMPRAS!BR:BR,COMPRAS!BO:BO,V290,COMPRAS!CS:CS,"&lt;&gt;01-REGIMEN GENERAL",COMPRAS!DD:DD,"=SI")+SUMIFS(COMPRAS!CA:CA,COMPRAS!BX:BX,V290,COMPRAS!CS:CS,"&lt;&gt;01-REGIMEN GENERAL",COMPRAS!DD:DD,"=SI")</f>
        <v>0</v>
      </c>
      <c r="AF290" s="945"/>
      <c r="AG290" s="945"/>
      <c r="AH290" s="945"/>
      <c r="AI290" s="206"/>
    </row>
    <row r="291" spans="1:35" ht="21" customHeight="1" outlineLevel="1" collapsed="1" x14ac:dyDescent="0.35">
      <c r="A291" s="979"/>
      <c r="B291" s="980"/>
      <c r="C291" s="988"/>
      <c r="D291" s="15" t="s">
        <v>941</v>
      </c>
      <c r="E291" s="15"/>
      <c r="F291" s="15"/>
      <c r="G291" s="15"/>
      <c r="H291" s="15"/>
      <c r="I291" s="15"/>
      <c r="J291" s="15"/>
      <c r="K291" s="15"/>
      <c r="L291" s="15"/>
      <c r="M291" s="15"/>
      <c r="N291" s="15"/>
      <c r="O291" s="15"/>
      <c r="P291" s="15"/>
      <c r="Q291" s="15"/>
      <c r="R291" s="15"/>
      <c r="S291" s="15"/>
      <c r="T291" s="15"/>
      <c r="U291" s="130"/>
      <c r="V291" s="226">
        <v>432</v>
      </c>
      <c r="W291" s="225" t="s">
        <v>773</v>
      </c>
      <c r="X291" s="944">
        <f>SUM(X292:AA317)</f>
        <v>0</v>
      </c>
      <c r="Y291" s="945"/>
      <c r="Z291" s="945"/>
      <c r="AA291" s="945"/>
      <c r="AB291" s="224"/>
      <c r="AC291" s="54">
        <v>482</v>
      </c>
      <c r="AD291" s="227" t="s">
        <v>773</v>
      </c>
      <c r="AE291" s="944">
        <f>SUM(AE292:AH317)</f>
        <v>0</v>
      </c>
      <c r="AF291" s="945"/>
      <c r="AG291" s="945"/>
      <c r="AH291" s="945"/>
      <c r="AI291" s="206"/>
    </row>
    <row r="292" spans="1:35" ht="21" hidden="1" customHeight="1" outlineLevel="2" x14ac:dyDescent="0.35">
      <c r="A292" s="979"/>
      <c r="B292" s="980"/>
      <c r="C292" s="988"/>
      <c r="D292" s="15"/>
      <c r="E292" s="15"/>
      <c r="F292" s="15"/>
      <c r="G292" s="15"/>
      <c r="H292" s="15"/>
      <c r="I292" s="15"/>
      <c r="J292" s="15"/>
      <c r="K292" s="15"/>
      <c r="L292" s="15"/>
      <c r="M292" s="15"/>
      <c r="N292" s="15"/>
      <c r="O292" s="15"/>
      <c r="P292" s="15"/>
      <c r="Q292" s="15"/>
      <c r="R292" s="15"/>
      <c r="S292" s="15"/>
      <c r="T292" s="15"/>
      <c r="U292" s="229" t="s">
        <v>176</v>
      </c>
      <c r="V292" s="272">
        <v>500</v>
      </c>
      <c r="W292" s="225"/>
      <c r="X292" s="944">
        <f>SUMIFS(COMPRAS!BG:BG,COMPRAS!BF:BF,V292,COMPRAS!CS:CS,"&lt;&gt;01-REGIMEN GENERAL",COMPRAS!DD:DD,"=SI")+SUMIFS(COMPRAS!BP:BP,COMPRAS!BO:BO,V292,COMPRAS!CS:CS,"&lt;&gt;01-REGIMEN GENERAL",COMPRAS!DD:DD,"=SI")+SUMIFS(COMPRAS!BY:BY,COMPRAS!BX:BX,V292,COMPRAS!CS:CS,"&lt;&gt;01-REGIMEN GENERAL",COMPRAS!DD:DD,"=SI")</f>
        <v>0</v>
      </c>
      <c r="Y292" s="945"/>
      <c r="Z292" s="945"/>
      <c r="AA292" s="945"/>
      <c r="AB292" s="224"/>
      <c r="AC292" s="52"/>
      <c r="AD292" s="227"/>
      <c r="AE292" s="944">
        <f>SUMIFS(COMPRAS!BI:BI,COMPRAS!BF:BF,V292,COMPRAS!CS:CS,"&lt;&gt;01-REGIMEN GENERAL",COMPRAS!DD:DD,"=SI")+SUMIFS(COMPRAS!BR:BR,COMPRAS!BO:BO,V292,COMPRAS!CS:CS,"&lt;&gt;01-REGIMEN GENERAL",COMPRAS!DD:DD,"=SI")+SUMIFS(COMPRAS!CA:CA,COMPRAS!BX:BX,V292,COMPRAS!CS:CS,"&lt;&gt;01-REGIMEN GENERAL",COMPRAS!DD:DD,"=SI")</f>
        <v>0</v>
      </c>
      <c r="AF292" s="945"/>
      <c r="AG292" s="945"/>
      <c r="AH292" s="945"/>
      <c r="AI292" s="206"/>
    </row>
    <row r="293" spans="1:35" ht="21" hidden="1" customHeight="1" outlineLevel="2" x14ac:dyDescent="0.35">
      <c r="A293" s="979"/>
      <c r="B293" s="980"/>
      <c r="C293" s="988"/>
      <c r="D293" s="15"/>
      <c r="E293" s="15"/>
      <c r="F293" s="15"/>
      <c r="G293" s="15"/>
      <c r="H293" s="15"/>
      <c r="I293" s="15"/>
      <c r="J293" s="15"/>
      <c r="K293" s="15"/>
      <c r="L293" s="15"/>
      <c r="M293" s="15"/>
      <c r="N293" s="15"/>
      <c r="O293" s="15"/>
      <c r="P293" s="15"/>
      <c r="Q293" s="15"/>
      <c r="R293" s="15"/>
      <c r="S293" s="15"/>
      <c r="T293" s="15"/>
      <c r="U293" s="229" t="s">
        <v>177</v>
      </c>
      <c r="V293" s="272">
        <v>501</v>
      </c>
      <c r="W293" s="225"/>
      <c r="X293" s="944">
        <f>SUMIFS(COMPRAS!BG:BG,COMPRAS!BF:BF,V293,COMPRAS!CS:CS,"&lt;&gt;01-REGIMEN GENERAL",COMPRAS!DD:DD,"=SI")+SUMIFS(COMPRAS!BP:BP,COMPRAS!BO:BO,V293,COMPRAS!CS:CS,"&lt;&gt;01-REGIMEN GENERAL",COMPRAS!DD:DD,"=SI")+SUMIFS(COMPRAS!BY:BY,COMPRAS!BX:BX,V293,COMPRAS!CS:CS,"&lt;&gt;01-REGIMEN GENERAL",COMPRAS!DD:DD,"=SI")</f>
        <v>0</v>
      </c>
      <c r="Y293" s="945"/>
      <c r="Z293" s="945"/>
      <c r="AA293" s="945"/>
      <c r="AB293" s="224"/>
      <c r="AC293" s="52"/>
      <c r="AD293" s="227"/>
      <c r="AE293" s="944">
        <f>SUMIFS(COMPRAS!BI:BI,COMPRAS!BF:BF,V293,COMPRAS!CS:CS,"&lt;&gt;01-REGIMEN GENERAL",COMPRAS!DD:DD,"=SI")+SUMIFS(COMPRAS!BR:BR,COMPRAS!BO:BO,V293,COMPRAS!CS:CS,"&lt;&gt;01-REGIMEN GENERAL",COMPRAS!DD:DD,"=SI")+SUMIFS(COMPRAS!CA:CA,COMPRAS!BX:BX,V293,COMPRAS!CS:CS,"&lt;&gt;01-REGIMEN GENERAL",COMPRAS!DD:DD,"=SI")</f>
        <v>0</v>
      </c>
      <c r="AF293" s="945"/>
      <c r="AG293" s="945"/>
      <c r="AH293" s="945"/>
      <c r="AI293" s="206"/>
    </row>
    <row r="294" spans="1:35" ht="21" hidden="1" customHeight="1" outlineLevel="2" x14ac:dyDescent="0.35">
      <c r="A294" s="979"/>
      <c r="B294" s="980"/>
      <c r="C294" s="988"/>
      <c r="D294" s="15"/>
      <c r="E294" s="15"/>
      <c r="F294" s="15"/>
      <c r="G294" s="15"/>
      <c r="H294" s="15"/>
      <c r="I294" s="15"/>
      <c r="J294" s="15"/>
      <c r="K294" s="15"/>
      <c r="L294" s="15"/>
      <c r="M294" s="15"/>
      <c r="N294" s="15"/>
      <c r="O294" s="15"/>
      <c r="P294" s="15"/>
      <c r="Q294" s="15"/>
      <c r="R294" s="15"/>
      <c r="S294" s="15"/>
      <c r="T294" s="15"/>
      <c r="U294" s="229" t="s">
        <v>178</v>
      </c>
      <c r="V294" s="272">
        <v>503</v>
      </c>
      <c r="W294" s="225"/>
      <c r="X294" s="944">
        <f>SUMIFS(COMPRAS!BG:BG,COMPRAS!BF:BF,V294,COMPRAS!CS:CS,"&lt;&gt;01-REGIMEN GENERAL",COMPRAS!DD:DD,"=SI")+SUMIFS(COMPRAS!BP:BP,COMPRAS!BO:BO,V294,COMPRAS!CS:CS,"&lt;&gt;01-REGIMEN GENERAL",COMPRAS!DD:DD,"=SI")+SUMIFS(COMPRAS!BY:BY,COMPRAS!BX:BX,V294,COMPRAS!CS:CS,"&lt;&gt;01-REGIMEN GENERAL",COMPRAS!DD:DD,"=SI")</f>
        <v>0</v>
      </c>
      <c r="Y294" s="945"/>
      <c r="Z294" s="945"/>
      <c r="AA294" s="945"/>
      <c r="AB294" s="224"/>
      <c r="AC294" s="52"/>
      <c r="AD294" s="227"/>
      <c r="AE294" s="944">
        <f>SUMIFS(COMPRAS!BI:BI,COMPRAS!BF:BF,V294,COMPRAS!CS:CS,"&lt;&gt;01-REGIMEN GENERAL",COMPRAS!DD:DD,"=SI")+SUMIFS(COMPRAS!BR:BR,COMPRAS!BO:BO,V294,COMPRAS!CS:CS,"&lt;&gt;01-REGIMEN GENERAL",COMPRAS!DD:DD,"=SI")+SUMIFS(COMPRAS!CA:CA,COMPRAS!BX:BX,V294,COMPRAS!CS:CS,"&lt;&gt;01-REGIMEN GENERAL",COMPRAS!DD:DD,"=SI")</f>
        <v>0</v>
      </c>
      <c r="AF294" s="945"/>
      <c r="AG294" s="945"/>
      <c r="AH294" s="945"/>
      <c r="AI294" s="206"/>
    </row>
    <row r="295" spans="1:35" ht="21" hidden="1" customHeight="1" outlineLevel="2" x14ac:dyDescent="0.35">
      <c r="A295" s="979"/>
      <c r="B295" s="980"/>
      <c r="C295" s="988"/>
      <c r="D295" s="15"/>
      <c r="E295" s="15"/>
      <c r="F295" s="15"/>
      <c r="G295" s="15"/>
      <c r="H295" s="15"/>
      <c r="I295" s="15"/>
      <c r="J295" s="15"/>
      <c r="K295" s="15"/>
      <c r="L295" s="15"/>
      <c r="M295" s="15"/>
      <c r="N295" s="15"/>
      <c r="O295" s="15"/>
      <c r="P295" s="15"/>
      <c r="Q295" s="15"/>
      <c r="R295" s="15"/>
      <c r="S295" s="15"/>
      <c r="T295" s="15"/>
      <c r="U295" s="229" t="s">
        <v>189</v>
      </c>
      <c r="V295" s="272">
        <v>505</v>
      </c>
      <c r="W295" s="225"/>
      <c r="X295" s="944">
        <f>SUMIFS(COMPRAS!BG:BG,COMPRAS!BF:BF,V295,COMPRAS!CS:CS,"&lt;&gt;01-REGIMEN GENERAL",COMPRAS!DD:DD,"=SI")+SUMIFS(COMPRAS!BP:BP,COMPRAS!BO:BO,V295,COMPRAS!CS:CS,"&lt;&gt;01-REGIMEN GENERAL",COMPRAS!DD:DD,"=SI")+SUMIFS(COMPRAS!BY:BY,COMPRAS!BX:BX,V295,COMPRAS!CS:CS,"&lt;&gt;01-REGIMEN GENERAL",COMPRAS!DD:DD,"=SI")</f>
        <v>0</v>
      </c>
      <c r="Y295" s="945"/>
      <c r="Z295" s="945"/>
      <c r="AA295" s="945"/>
      <c r="AB295" s="224"/>
      <c r="AC295" s="52"/>
      <c r="AD295" s="227"/>
      <c r="AE295" s="944">
        <f>SUMIFS(COMPRAS!BI:BI,COMPRAS!BF:BF,V295,COMPRAS!CS:CS,"&lt;&gt;01-REGIMEN GENERAL",COMPRAS!DD:DD,"=SI")+SUMIFS(COMPRAS!BR:BR,COMPRAS!BO:BO,V295,COMPRAS!CS:CS,"&lt;&gt;01-REGIMEN GENERAL",COMPRAS!DD:DD,"=SI")+SUMIFS(COMPRAS!CA:CA,COMPRAS!BX:BX,V295,COMPRAS!CS:CS,"&lt;&gt;01-REGIMEN GENERAL",COMPRAS!DD:DD,"=SI")</f>
        <v>0</v>
      </c>
      <c r="AF295" s="945"/>
      <c r="AG295" s="945"/>
      <c r="AH295" s="945"/>
      <c r="AI295" s="206"/>
    </row>
    <row r="296" spans="1:35" ht="21" hidden="1" customHeight="1" outlineLevel="2" x14ac:dyDescent="0.35">
      <c r="A296" s="979"/>
      <c r="B296" s="980"/>
      <c r="C296" s="988"/>
      <c r="D296" s="15"/>
      <c r="E296" s="15"/>
      <c r="F296" s="15"/>
      <c r="G296" s="15"/>
      <c r="H296" s="15"/>
      <c r="I296" s="15"/>
      <c r="J296" s="15"/>
      <c r="K296" s="15"/>
      <c r="L296" s="15"/>
      <c r="M296" s="15"/>
      <c r="N296" s="15"/>
      <c r="O296" s="15"/>
      <c r="P296" s="15"/>
      <c r="Q296" s="15"/>
      <c r="R296" s="15"/>
      <c r="S296" s="15"/>
      <c r="T296" s="15"/>
      <c r="U296" s="229" t="s">
        <v>202</v>
      </c>
      <c r="V296" s="272">
        <v>509</v>
      </c>
      <c r="W296" s="225"/>
      <c r="X296" s="944">
        <f>SUMIFS(COMPRAS!BG:BG,COMPRAS!BF:BF,V296,COMPRAS!CS:CS,"&lt;&gt;01-REGIMEN GENERAL",COMPRAS!DD:DD,"=SI")+SUMIFS(COMPRAS!BP:BP,COMPRAS!BO:BO,V296,COMPRAS!CS:CS,"&lt;&gt;01-REGIMEN GENERAL",COMPRAS!DD:DD,"=SI")+SUMIFS(COMPRAS!BY:BY,COMPRAS!BX:BX,V296,COMPRAS!CS:CS,"&lt;&gt;01-REGIMEN GENERAL",COMPRAS!DD:DD,"=SI")</f>
        <v>0</v>
      </c>
      <c r="Y296" s="945"/>
      <c r="Z296" s="945"/>
      <c r="AA296" s="945"/>
      <c r="AB296" s="224"/>
      <c r="AC296" s="52"/>
      <c r="AD296" s="227"/>
      <c r="AE296" s="944">
        <f>SUMIFS(COMPRAS!BI:BI,COMPRAS!BF:BF,V296,COMPRAS!CS:CS,"&lt;&gt;01-REGIMEN GENERAL",COMPRAS!DD:DD,"=SI")+SUMIFS(COMPRAS!BR:BR,COMPRAS!BO:BO,V296,COMPRAS!CS:CS,"&lt;&gt;01-REGIMEN GENERAL",COMPRAS!DD:DD,"=SI")+SUMIFS(COMPRAS!CA:CA,COMPRAS!BX:BX,V296,COMPRAS!CS:CS,"&lt;&gt;01-REGIMEN GENERAL",COMPRAS!DD:DD,"=SI")</f>
        <v>0</v>
      </c>
      <c r="AF296" s="945"/>
      <c r="AG296" s="945"/>
      <c r="AH296" s="945"/>
      <c r="AI296" s="206"/>
    </row>
    <row r="297" spans="1:35" ht="21" hidden="1" customHeight="1" outlineLevel="2" x14ac:dyDescent="0.35">
      <c r="A297" s="979"/>
      <c r="B297" s="980"/>
      <c r="C297" s="988"/>
      <c r="D297" s="15"/>
      <c r="E297" s="15"/>
      <c r="F297" s="15"/>
      <c r="G297" s="15"/>
      <c r="H297" s="15"/>
      <c r="I297" s="15"/>
      <c r="J297" s="15"/>
      <c r="K297" s="15"/>
      <c r="L297" s="15"/>
      <c r="M297" s="15"/>
      <c r="N297" s="15"/>
      <c r="O297" s="15"/>
      <c r="P297" s="15"/>
      <c r="Q297" s="15"/>
      <c r="R297" s="15"/>
      <c r="S297" s="15"/>
      <c r="T297" s="15"/>
      <c r="U297" s="229" t="s">
        <v>205</v>
      </c>
      <c r="V297" s="272">
        <v>510</v>
      </c>
      <c r="W297" s="225"/>
      <c r="X297" s="944">
        <f>SUMIFS(COMPRAS!BG:BG,COMPRAS!BF:BF,V297,COMPRAS!CS:CS,"&lt;&gt;01-REGIMEN GENERAL",COMPRAS!DD:DD,"=SI")+SUMIFS(COMPRAS!BP:BP,COMPRAS!BO:BO,V297,COMPRAS!CS:CS,"&lt;&gt;01-REGIMEN GENERAL",COMPRAS!DD:DD,"=SI")+SUMIFS(COMPRAS!BY:BY,COMPRAS!BX:BX,V297,COMPRAS!CS:CS,"&lt;&gt;01-REGIMEN GENERAL",COMPRAS!DD:DD,"=SI")</f>
        <v>0</v>
      </c>
      <c r="Y297" s="945"/>
      <c r="Z297" s="945"/>
      <c r="AA297" s="945"/>
      <c r="AB297" s="224"/>
      <c r="AC297" s="52"/>
      <c r="AD297" s="227"/>
      <c r="AE297" s="944">
        <f>SUMIFS(COMPRAS!BI:BI,COMPRAS!BF:BF,V297,COMPRAS!CS:CS,"&lt;&gt;01-REGIMEN GENERAL",COMPRAS!DD:DD,"=SI")+SUMIFS(COMPRAS!BR:BR,COMPRAS!BO:BO,V297,COMPRAS!CS:CS,"&lt;&gt;01-REGIMEN GENERAL",COMPRAS!DD:DD,"=SI")+SUMIFS(COMPRAS!CA:CA,COMPRAS!BX:BX,V297,COMPRAS!CS:CS,"&lt;&gt;01-REGIMEN GENERAL",COMPRAS!DD:DD,"=SI")</f>
        <v>0</v>
      </c>
      <c r="AF297" s="945"/>
      <c r="AG297" s="945"/>
      <c r="AH297" s="945"/>
      <c r="AI297" s="206"/>
    </row>
    <row r="298" spans="1:35" ht="21" hidden="1" customHeight="1" outlineLevel="2" x14ac:dyDescent="0.35">
      <c r="A298" s="979"/>
      <c r="B298" s="980"/>
      <c r="C298" s="988"/>
      <c r="D298" s="15"/>
      <c r="E298" s="15"/>
      <c r="F298" s="15"/>
      <c r="G298" s="15"/>
      <c r="H298" s="15"/>
      <c r="I298" s="15"/>
      <c r="J298" s="15"/>
      <c r="K298" s="15"/>
      <c r="L298" s="15"/>
      <c r="M298" s="15"/>
      <c r="N298" s="15"/>
      <c r="O298" s="15"/>
      <c r="P298" s="15"/>
      <c r="Q298" s="15"/>
      <c r="R298" s="15"/>
      <c r="S298" s="15"/>
      <c r="T298" s="15"/>
      <c r="U298" s="229" t="s">
        <v>206</v>
      </c>
      <c r="V298" s="272">
        <v>511</v>
      </c>
      <c r="W298" s="225"/>
      <c r="X298" s="944">
        <f>SUMIFS(COMPRAS!BG:BG,COMPRAS!BF:BF,V298,COMPRAS!CS:CS,"&lt;&gt;01-REGIMEN GENERAL",COMPRAS!DD:DD,"=SI")+SUMIFS(COMPRAS!BP:BP,COMPRAS!BO:BO,V298,COMPRAS!CS:CS,"&lt;&gt;01-REGIMEN GENERAL",COMPRAS!DD:DD,"=SI")+SUMIFS(COMPRAS!BY:BY,COMPRAS!BX:BX,V298,COMPRAS!CS:CS,"&lt;&gt;01-REGIMEN GENERAL",COMPRAS!DD:DD,"=SI")</f>
        <v>0</v>
      </c>
      <c r="Y298" s="945"/>
      <c r="Z298" s="945"/>
      <c r="AA298" s="945"/>
      <c r="AB298" s="224"/>
      <c r="AC298" s="52"/>
      <c r="AD298" s="227"/>
      <c r="AE298" s="944">
        <f>SUMIFS(COMPRAS!BI:BI,COMPRAS!BF:BF,V298,COMPRAS!CS:CS,"&lt;&gt;01-REGIMEN GENERAL",COMPRAS!DD:DD,"=SI")+SUMIFS(COMPRAS!BR:BR,COMPRAS!BO:BO,V298,COMPRAS!CS:CS,"&lt;&gt;01-REGIMEN GENERAL",COMPRAS!DD:DD,"=SI")+SUMIFS(COMPRAS!CA:CA,COMPRAS!BX:BX,V298,COMPRAS!CS:CS,"&lt;&gt;01-REGIMEN GENERAL",COMPRAS!DD:DD,"=SI")</f>
        <v>0</v>
      </c>
      <c r="AF298" s="945"/>
      <c r="AG298" s="945"/>
      <c r="AH298" s="945"/>
      <c r="AI298" s="206"/>
    </row>
    <row r="299" spans="1:35" ht="21" hidden="1" customHeight="1" outlineLevel="2" x14ac:dyDescent="0.35">
      <c r="A299" s="979"/>
      <c r="B299" s="980"/>
      <c r="C299" s="988"/>
      <c r="D299" s="15"/>
      <c r="E299" s="15"/>
      <c r="F299" s="15"/>
      <c r="G299" s="15"/>
      <c r="H299" s="15"/>
      <c r="I299" s="15"/>
      <c r="J299" s="15"/>
      <c r="K299" s="15"/>
      <c r="L299" s="15"/>
      <c r="M299" s="15"/>
      <c r="N299" s="15"/>
      <c r="O299" s="15"/>
      <c r="P299" s="15"/>
      <c r="Q299" s="15"/>
      <c r="R299" s="15"/>
      <c r="S299" s="15"/>
      <c r="T299" s="15"/>
      <c r="U299" s="229" t="s">
        <v>207</v>
      </c>
      <c r="V299" s="272">
        <v>512</v>
      </c>
      <c r="W299" s="225"/>
      <c r="X299" s="944">
        <f>SUMIFS(COMPRAS!BG:BG,COMPRAS!BF:BF,V299,COMPRAS!CS:CS,"&lt;&gt;01-REGIMEN GENERAL",COMPRAS!DD:DD,"=SI")+SUMIFS(COMPRAS!BP:BP,COMPRAS!BO:BO,V299,COMPRAS!CS:CS,"&lt;&gt;01-REGIMEN GENERAL",COMPRAS!DD:DD,"=SI")+SUMIFS(COMPRAS!BY:BY,COMPRAS!BX:BX,V299,COMPRAS!CS:CS,"&lt;&gt;01-REGIMEN GENERAL",COMPRAS!DD:DD,"=SI")</f>
        <v>0</v>
      </c>
      <c r="Y299" s="945"/>
      <c r="Z299" s="945"/>
      <c r="AA299" s="945"/>
      <c r="AB299" s="224"/>
      <c r="AC299" s="52"/>
      <c r="AD299" s="227"/>
      <c r="AE299" s="944">
        <f>SUMIFS(COMPRAS!BI:BI,COMPRAS!BF:BF,V299,COMPRAS!CS:CS,"&lt;&gt;01-REGIMEN GENERAL",COMPRAS!DD:DD,"=SI")+SUMIFS(COMPRAS!BR:BR,COMPRAS!BO:BO,V299,COMPRAS!CS:CS,"&lt;&gt;01-REGIMEN GENERAL",COMPRAS!DD:DD,"=SI")+SUMIFS(COMPRAS!CA:CA,COMPRAS!BX:BX,V299,COMPRAS!CS:CS,"&lt;&gt;01-REGIMEN GENERAL",COMPRAS!DD:DD,"=SI")</f>
        <v>0</v>
      </c>
      <c r="AF299" s="945"/>
      <c r="AG299" s="945"/>
      <c r="AH299" s="945"/>
      <c r="AI299" s="206"/>
    </row>
    <row r="300" spans="1:35" ht="21" hidden="1" customHeight="1" outlineLevel="2" x14ac:dyDescent="0.35">
      <c r="A300" s="979"/>
      <c r="B300" s="980"/>
      <c r="C300" s="988"/>
      <c r="D300" s="15"/>
      <c r="E300" s="15"/>
      <c r="F300" s="15"/>
      <c r="G300" s="15"/>
      <c r="H300" s="15"/>
      <c r="I300" s="15"/>
      <c r="J300" s="15"/>
      <c r="K300" s="15"/>
      <c r="L300" s="15"/>
      <c r="M300" s="15"/>
      <c r="N300" s="15"/>
      <c r="O300" s="15"/>
      <c r="P300" s="15"/>
      <c r="Q300" s="15"/>
      <c r="R300" s="15"/>
      <c r="S300" s="15"/>
      <c r="T300" s="15"/>
      <c r="U300" s="229" t="s">
        <v>208</v>
      </c>
      <c r="V300" s="272">
        <v>513</v>
      </c>
      <c r="W300" s="225"/>
      <c r="X300" s="944">
        <f>SUMIFS(COMPRAS!BG:BG,COMPRAS!BF:BF,V300,COMPRAS!CS:CS,"&lt;&gt;01-REGIMEN GENERAL",COMPRAS!DD:DD,"=SI")+SUMIFS(COMPRAS!BP:BP,COMPRAS!BO:BO,V300,COMPRAS!CS:CS,"&lt;&gt;01-REGIMEN GENERAL",COMPRAS!DD:DD,"=SI")+SUMIFS(COMPRAS!BY:BY,COMPRAS!BX:BX,V300,COMPRAS!CS:CS,"&lt;&gt;01-REGIMEN GENERAL",COMPRAS!DD:DD,"=SI")</f>
        <v>0</v>
      </c>
      <c r="Y300" s="945"/>
      <c r="Z300" s="945"/>
      <c r="AA300" s="945"/>
      <c r="AB300" s="224"/>
      <c r="AC300" s="52"/>
      <c r="AD300" s="227"/>
      <c r="AE300" s="944">
        <f>SUMIFS(COMPRAS!BI:BI,COMPRAS!BF:BF,V300,COMPRAS!CS:CS,"&lt;&gt;01-REGIMEN GENERAL",COMPRAS!DD:DD,"=SI")+SUMIFS(COMPRAS!BR:BR,COMPRAS!BO:BO,V300,COMPRAS!CS:CS,"&lt;&gt;01-REGIMEN GENERAL",COMPRAS!DD:DD,"=SI")+SUMIFS(COMPRAS!CA:CA,COMPRAS!BX:BX,V300,COMPRAS!CS:CS,"&lt;&gt;01-REGIMEN GENERAL",COMPRAS!DD:DD,"=SI")</f>
        <v>0</v>
      </c>
      <c r="AF300" s="945"/>
      <c r="AG300" s="945"/>
      <c r="AH300" s="945"/>
      <c r="AI300" s="206"/>
    </row>
    <row r="301" spans="1:35" ht="21" hidden="1" customHeight="1" outlineLevel="2" x14ac:dyDescent="0.35">
      <c r="A301" s="979"/>
      <c r="B301" s="980"/>
      <c r="C301" s="988"/>
      <c r="D301" s="15"/>
      <c r="E301" s="15"/>
      <c r="F301" s="15"/>
      <c r="G301" s="15"/>
      <c r="H301" s="15"/>
      <c r="I301" s="15"/>
      <c r="J301" s="15"/>
      <c r="K301" s="15"/>
      <c r="L301" s="15"/>
      <c r="M301" s="15"/>
      <c r="N301" s="15"/>
      <c r="O301" s="15"/>
      <c r="P301" s="15"/>
      <c r="Q301" s="15"/>
      <c r="R301" s="15"/>
      <c r="S301" s="15"/>
      <c r="T301" s="15"/>
      <c r="U301" s="229" t="s">
        <v>211</v>
      </c>
      <c r="V301" s="272">
        <v>514</v>
      </c>
      <c r="W301" s="225"/>
      <c r="X301" s="944">
        <f>SUMIFS(COMPRAS!BG:BG,COMPRAS!BF:BF,V301,COMPRAS!CS:CS,"&lt;&gt;01-REGIMEN GENERAL",COMPRAS!DD:DD,"=SI")+SUMIFS(COMPRAS!BP:BP,COMPRAS!BO:BO,V301,COMPRAS!CS:CS,"&lt;&gt;01-REGIMEN GENERAL",COMPRAS!DD:DD,"=SI")+SUMIFS(COMPRAS!BY:BY,COMPRAS!BX:BX,V301,COMPRAS!CS:CS,"&lt;&gt;01-REGIMEN GENERAL",COMPRAS!DD:DD,"=SI")</f>
        <v>0</v>
      </c>
      <c r="Y301" s="945"/>
      <c r="Z301" s="945"/>
      <c r="AA301" s="945"/>
      <c r="AB301" s="224"/>
      <c r="AC301" s="52"/>
      <c r="AD301" s="227"/>
      <c r="AE301" s="944">
        <f>SUMIFS(COMPRAS!BI:BI,COMPRAS!BF:BF,V301,COMPRAS!CS:CS,"&lt;&gt;01-REGIMEN GENERAL",COMPRAS!DD:DD,"=SI")+SUMIFS(COMPRAS!BR:BR,COMPRAS!BO:BO,V301,COMPRAS!CS:CS,"&lt;&gt;01-REGIMEN GENERAL",COMPRAS!DD:DD,"=SI")+SUMIFS(COMPRAS!CA:CA,COMPRAS!BX:BX,V301,COMPRAS!CS:CS,"&lt;&gt;01-REGIMEN GENERAL",COMPRAS!DD:DD,"=SI")</f>
        <v>0</v>
      </c>
      <c r="AF301" s="945"/>
      <c r="AG301" s="945"/>
      <c r="AH301" s="945"/>
      <c r="AI301" s="206"/>
    </row>
    <row r="302" spans="1:35" ht="21" hidden="1" customHeight="1" outlineLevel="2" x14ac:dyDescent="0.35">
      <c r="A302" s="979"/>
      <c r="B302" s="980"/>
      <c r="C302" s="988"/>
      <c r="D302" s="15"/>
      <c r="E302" s="15"/>
      <c r="F302" s="15"/>
      <c r="G302" s="15"/>
      <c r="H302" s="15"/>
      <c r="I302" s="15"/>
      <c r="J302" s="15"/>
      <c r="K302" s="15"/>
      <c r="L302" s="15"/>
      <c r="M302" s="15"/>
      <c r="N302" s="15"/>
      <c r="O302" s="15"/>
      <c r="P302" s="15"/>
      <c r="Q302" s="15"/>
      <c r="R302" s="15"/>
      <c r="S302" s="15"/>
      <c r="T302" s="15"/>
      <c r="U302" s="229" t="s">
        <v>212</v>
      </c>
      <c r="V302" s="272">
        <v>515</v>
      </c>
      <c r="W302" s="225"/>
      <c r="X302" s="944">
        <f>SUMIFS(COMPRAS!BG:BG,COMPRAS!BF:BF,V302,COMPRAS!CS:CS,"&lt;&gt;01-REGIMEN GENERAL",COMPRAS!DD:DD,"=SI")+SUMIFS(COMPRAS!BP:BP,COMPRAS!BO:BO,V302,COMPRAS!CS:CS,"&lt;&gt;01-REGIMEN GENERAL",COMPRAS!DD:DD,"=SI")+SUMIFS(COMPRAS!BY:BY,COMPRAS!BX:BX,V302,COMPRAS!CS:CS,"&lt;&gt;01-REGIMEN GENERAL",COMPRAS!DD:DD,"=SI")</f>
        <v>0</v>
      </c>
      <c r="Y302" s="945"/>
      <c r="Z302" s="945"/>
      <c r="AA302" s="945"/>
      <c r="AB302" s="224"/>
      <c r="AC302" s="52"/>
      <c r="AD302" s="227"/>
      <c r="AE302" s="944">
        <f>SUMIFS(COMPRAS!BI:BI,COMPRAS!BF:BF,V302,COMPRAS!CS:CS,"&lt;&gt;01-REGIMEN GENERAL",COMPRAS!DD:DD,"=SI")+SUMIFS(COMPRAS!BR:BR,COMPRAS!BO:BO,V302,COMPRAS!CS:CS,"&lt;&gt;01-REGIMEN GENERAL",COMPRAS!DD:DD,"=SI")+SUMIFS(COMPRAS!CA:CA,COMPRAS!BX:BX,V302,COMPRAS!CS:CS,"&lt;&gt;01-REGIMEN GENERAL",COMPRAS!DD:DD,"=SI")</f>
        <v>0</v>
      </c>
      <c r="AF302" s="945"/>
      <c r="AG302" s="945"/>
      <c r="AH302" s="945"/>
      <c r="AI302" s="206"/>
    </row>
    <row r="303" spans="1:35" ht="21" hidden="1" customHeight="1" outlineLevel="2" x14ac:dyDescent="0.35">
      <c r="A303" s="979"/>
      <c r="B303" s="980"/>
      <c r="C303" s="988"/>
      <c r="D303" s="15"/>
      <c r="E303" s="15"/>
      <c r="F303" s="15"/>
      <c r="G303" s="15"/>
      <c r="H303" s="15"/>
      <c r="I303" s="15"/>
      <c r="J303" s="15"/>
      <c r="K303" s="15"/>
      <c r="L303" s="15"/>
      <c r="M303" s="15"/>
      <c r="N303" s="15"/>
      <c r="O303" s="15"/>
      <c r="P303" s="15"/>
      <c r="Q303" s="15"/>
      <c r="R303" s="15"/>
      <c r="S303" s="15"/>
      <c r="T303" s="15"/>
      <c r="U303" s="229" t="s">
        <v>213</v>
      </c>
      <c r="V303" s="272">
        <v>516</v>
      </c>
      <c r="W303" s="225"/>
      <c r="X303" s="944">
        <f>SUMIFS(COMPRAS!BG:BG,COMPRAS!BF:BF,V303,COMPRAS!CS:CS,"&lt;&gt;01-REGIMEN GENERAL",COMPRAS!DD:DD,"=SI")+SUMIFS(COMPRAS!BP:BP,COMPRAS!BO:BO,V303,COMPRAS!CS:CS,"&lt;&gt;01-REGIMEN GENERAL",COMPRAS!DD:DD,"=SI")+SUMIFS(COMPRAS!BY:BY,COMPRAS!BX:BX,V303,COMPRAS!CS:CS,"&lt;&gt;01-REGIMEN GENERAL",COMPRAS!DD:DD,"=SI")</f>
        <v>0</v>
      </c>
      <c r="Y303" s="945"/>
      <c r="Z303" s="945"/>
      <c r="AA303" s="945"/>
      <c r="AB303" s="224"/>
      <c r="AC303" s="52"/>
      <c r="AD303" s="227"/>
      <c r="AE303" s="944">
        <f>SUMIFS(COMPRAS!BI:BI,COMPRAS!BF:BF,V303,COMPRAS!CS:CS,"&lt;&gt;01-REGIMEN GENERAL",COMPRAS!DD:DD,"=SI")+SUMIFS(COMPRAS!BR:BR,COMPRAS!BO:BO,V303,COMPRAS!CS:CS,"&lt;&gt;01-REGIMEN GENERAL",COMPRAS!DD:DD,"=SI")+SUMIFS(COMPRAS!CA:CA,COMPRAS!BX:BX,V303,COMPRAS!CS:CS,"&lt;&gt;01-REGIMEN GENERAL",COMPRAS!DD:DD,"=SI")</f>
        <v>0</v>
      </c>
      <c r="AF303" s="945"/>
      <c r="AG303" s="945"/>
      <c r="AH303" s="945"/>
      <c r="AI303" s="206"/>
    </row>
    <row r="304" spans="1:35" ht="21" hidden="1" customHeight="1" outlineLevel="2" x14ac:dyDescent="0.35">
      <c r="A304" s="979"/>
      <c r="B304" s="980"/>
      <c r="C304" s="988"/>
      <c r="D304" s="15"/>
      <c r="E304" s="15"/>
      <c r="F304" s="15"/>
      <c r="G304" s="15"/>
      <c r="H304" s="15"/>
      <c r="I304" s="15"/>
      <c r="J304" s="15"/>
      <c r="K304" s="15"/>
      <c r="L304" s="15"/>
      <c r="M304" s="15"/>
      <c r="N304" s="15"/>
      <c r="O304" s="15"/>
      <c r="P304" s="15"/>
      <c r="Q304" s="15"/>
      <c r="R304" s="15"/>
      <c r="S304" s="15"/>
      <c r="T304" s="15"/>
      <c r="U304" s="229" t="s">
        <v>214</v>
      </c>
      <c r="V304" s="272">
        <v>517</v>
      </c>
      <c r="W304" s="225"/>
      <c r="X304" s="944">
        <f>SUMIFS(COMPRAS!BG:BG,COMPRAS!BF:BF,V304,COMPRAS!CS:CS,"&lt;&gt;01-REGIMEN GENERAL",COMPRAS!DD:DD,"=SI")+SUMIFS(COMPRAS!BP:BP,COMPRAS!BO:BO,V304,COMPRAS!CS:CS,"&lt;&gt;01-REGIMEN GENERAL",COMPRAS!DD:DD,"=SI")+SUMIFS(COMPRAS!BY:BY,COMPRAS!BX:BX,V304,COMPRAS!CS:CS,"&lt;&gt;01-REGIMEN GENERAL",COMPRAS!DD:DD,"=SI")</f>
        <v>0</v>
      </c>
      <c r="Y304" s="945"/>
      <c r="Z304" s="945"/>
      <c r="AA304" s="945"/>
      <c r="AB304" s="224"/>
      <c r="AC304" s="52"/>
      <c r="AD304" s="227"/>
      <c r="AE304" s="944">
        <f>SUMIFS(COMPRAS!BI:BI,COMPRAS!BF:BF,V304,COMPRAS!CS:CS,"&lt;&gt;01-REGIMEN GENERAL",COMPRAS!DD:DD,"=SI")+SUMIFS(COMPRAS!BR:BR,COMPRAS!BO:BO,V304,COMPRAS!CS:CS,"&lt;&gt;01-REGIMEN GENERAL",COMPRAS!DD:DD,"=SI")+SUMIFS(COMPRAS!CA:CA,COMPRAS!BX:BX,V304,COMPRAS!CS:CS,"&lt;&gt;01-REGIMEN GENERAL",COMPRAS!DD:DD,"=SI")</f>
        <v>0</v>
      </c>
      <c r="AF304" s="945"/>
      <c r="AG304" s="945"/>
      <c r="AH304" s="945"/>
      <c r="AI304" s="206"/>
    </row>
    <row r="305" spans="1:35" ht="21" hidden="1" customHeight="1" outlineLevel="2" x14ac:dyDescent="0.35">
      <c r="A305" s="979"/>
      <c r="B305" s="980"/>
      <c r="C305" s="988"/>
      <c r="D305" s="15"/>
      <c r="E305" s="15"/>
      <c r="F305" s="15"/>
      <c r="G305" s="15"/>
      <c r="H305" s="15"/>
      <c r="I305" s="15"/>
      <c r="J305" s="15"/>
      <c r="K305" s="15"/>
      <c r="L305" s="15"/>
      <c r="M305" s="15"/>
      <c r="N305" s="15"/>
      <c r="O305" s="15"/>
      <c r="P305" s="15"/>
      <c r="Q305" s="15"/>
      <c r="R305" s="15"/>
      <c r="S305" s="15"/>
      <c r="T305" s="15"/>
      <c r="U305" s="229" t="s">
        <v>215</v>
      </c>
      <c r="V305" s="272">
        <v>518</v>
      </c>
      <c r="W305" s="225"/>
      <c r="X305" s="944">
        <f>SUMIFS(COMPRAS!BG:BG,COMPRAS!BF:BF,V305,COMPRAS!CS:CS,"&lt;&gt;01-REGIMEN GENERAL",COMPRAS!DD:DD,"=SI")+SUMIFS(COMPRAS!BP:BP,COMPRAS!BO:BO,V305,COMPRAS!CS:CS,"&lt;&gt;01-REGIMEN GENERAL",COMPRAS!DD:DD,"=SI")+SUMIFS(COMPRAS!BY:BY,COMPRAS!BX:BX,V305,COMPRAS!CS:CS,"&lt;&gt;01-REGIMEN GENERAL",COMPRAS!DD:DD,"=SI")</f>
        <v>0</v>
      </c>
      <c r="Y305" s="945"/>
      <c r="Z305" s="945"/>
      <c r="AA305" s="945"/>
      <c r="AB305" s="224"/>
      <c r="AC305" s="52"/>
      <c r="AD305" s="227"/>
      <c r="AE305" s="944">
        <f>SUMIFS(COMPRAS!BI:BI,COMPRAS!BF:BF,V305,COMPRAS!CS:CS,"&lt;&gt;01-REGIMEN GENERAL",COMPRAS!DD:DD,"=SI")+SUMIFS(COMPRAS!BR:BR,COMPRAS!BO:BO,V305,COMPRAS!CS:CS,"&lt;&gt;01-REGIMEN GENERAL",COMPRAS!DD:DD,"=SI")+SUMIFS(COMPRAS!CA:CA,COMPRAS!BX:BX,V305,COMPRAS!CS:CS,"&lt;&gt;01-REGIMEN GENERAL",COMPRAS!DD:DD,"=SI")</f>
        <v>0</v>
      </c>
      <c r="AF305" s="945"/>
      <c r="AG305" s="945"/>
      <c r="AH305" s="945"/>
      <c r="AI305" s="206"/>
    </row>
    <row r="306" spans="1:35" ht="21" hidden="1" customHeight="1" outlineLevel="2" x14ac:dyDescent="0.35">
      <c r="A306" s="979"/>
      <c r="B306" s="980"/>
      <c r="C306" s="988"/>
      <c r="D306" s="15"/>
      <c r="E306" s="15"/>
      <c r="F306" s="15"/>
      <c r="G306" s="15"/>
      <c r="H306" s="15"/>
      <c r="I306" s="15"/>
      <c r="J306" s="15"/>
      <c r="K306" s="15"/>
      <c r="L306" s="15"/>
      <c r="M306" s="15"/>
      <c r="N306" s="15"/>
      <c r="O306" s="15"/>
      <c r="P306" s="15"/>
      <c r="Q306" s="15"/>
      <c r="R306" s="15"/>
      <c r="S306" s="15"/>
      <c r="T306" s="15"/>
      <c r="U306" s="229" t="s">
        <v>216</v>
      </c>
      <c r="V306" s="272">
        <v>519</v>
      </c>
      <c r="W306" s="225"/>
      <c r="X306" s="944">
        <f>SUMIFS(COMPRAS!BG:BG,COMPRAS!BF:BF,V306,COMPRAS!CS:CS,"&lt;&gt;01-REGIMEN GENERAL",COMPRAS!DD:DD,"=SI")+SUMIFS(COMPRAS!BP:BP,COMPRAS!BO:BO,V306,COMPRAS!CS:CS,"&lt;&gt;01-REGIMEN GENERAL",COMPRAS!DD:DD,"=SI")+SUMIFS(COMPRAS!BY:BY,COMPRAS!BX:BX,V306,COMPRAS!CS:CS,"&lt;&gt;01-REGIMEN GENERAL",COMPRAS!DD:DD,"=SI")</f>
        <v>0</v>
      </c>
      <c r="Y306" s="945"/>
      <c r="Z306" s="945"/>
      <c r="AA306" s="945"/>
      <c r="AB306" s="224"/>
      <c r="AC306" s="52"/>
      <c r="AD306" s="227"/>
      <c r="AE306" s="944">
        <f>SUMIFS(COMPRAS!BI:BI,COMPRAS!BF:BF,V306,COMPRAS!CS:CS,"&lt;&gt;01-REGIMEN GENERAL",COMPRAS!DD:DD,"=SI")+SUMIFS(COMPRAS!BR:BR,COMPRAS!BO:BO,V306,COMPRAS!CS:CS,"&lt;&gt;01-REGIMEN GENERAL",COMPRAS!DD:DD,"=SI")+SUMIFS(COMPRAS!CA:CA,COMPRAS!BX:BX,V306,COMPRAS!CS:CS,"&lt;&gt;01-REGIMEN GENERAL",COMPRAS!DD:DD,"=SI")</f>
        <v>0</v>
      </c>
      <c r="AF306" s="945"/>
      <c r="AG306" s="945"/>
      <c r="AH306" s="945"/>
      <c r="AI306" s="206"/>
    </row>
    <row r="307" spans="1:35" ht="21" hidden="1" customHeight="1" outlineLevel="2" x14ac:dyDescent="0.35">
      <c r="A307" s="979"/>
      <c r="B307" s="980"/>
      <c r="C307" s="988"/>
      <c r="D307" s="15"/>
      <c r="E307" s="15"/>
      <c r="F307" s="15"/>
      <c r="G307" s="15"/>
      <c r="H307" s="15"/>
      <c r="I307" s="15"/>
      <c r="J307" s="15"/>
      <c r="K307" s="15"/>
      <c r="L307" s="15"/>
      <c r="M307" s="15"/>
      <c r="N307" s="15"/>
      <c r="O307" s="15"/>
      <c r="P307" s="15"/>
      <c r="Q307" s="15"/>
      <c r="R307" s="15"/>
      <c r="S307" s="15"/>
      <c r="T307" s="15"/>
      <c r="U307" s="229" t="s">
        <v>1073</v>
      </c>
      <c r="V307" s="272">
        <v>525</v>
      </c>
      <c r="W307" s="225"/>
      <c r="X307" s="944">
        <f>SUMIFS(COMPRAS!BG:BG,COMPRAS!BF:BF,V307,COMPRAS!CS:CS,"&lt;&gt;01-REGIMEN GENERAL",COMPRAS!DD:DD,"=SI")+SUMIFS(COMPRAS!BP:BP,COMPRAS!BO:BO,V307,COMPRAS!CS:CS,"&lt;&gt;01-REGIMEN GENERAL",COMPRAS!DD:DD,"=SI")+SUMIFS(COMPRAS!BY:BY,COMPRAS!BX:BX,V307,COMPRAS!CS:CS,"&lt;&gt;01-REGIMEN GENERAL",COMPRAS!DD:DD,"=SI")</f>
        <v>0</v>
      </c>
      <c r="Y307" s="945"/>
      <c r="Z307" s="945"/>
      <c r="AA307" s="945"/>
      <c r="AB307" s="224"/>
      <c r="AC307" s="52"/>
      <c r="AD307" s="227"/>
      <c r="AE307" s="944">
        <f>SUMIFS(COMPRAS!BI:BI,COMPRAS!BF:BF,V307,COMPRAS!CS:CS,"&lt;&gt;01-REGIMEN GENERAL",COMPRAS!DD:DD,"=SI")+SUMIFS(COMPRAS!BR:BR,COMPRAS!BO:BO,V307,COMPRAS!CS:CS,"&lt;&gt;01-REGIMEN GENERAL",COMPRAS!DD:DD,"=SI")+SUMIFS(COMPRAS!CA:CA,COMPRAS!BX:BX,V307,COMPRAS!CS:CS,"&lt;&gt;01-REGIMEN GENERAL",COMPRAS!DD:DD,"=SI")</f>
        <v>0</v>
      </c>
      <c r="AF307" s="945"/>
      <c r="AG307" s="945"/>
      <c r="AH307" s="945"/>
      <c r="AI307" s="206"/>
    </row>
    <row r="308" spans="1:35" ht="21" hidden="1" customHeight="1" outlineLevel="2" x14ac:dyDescent="0.35">
      <c r="A308" s="979"/>
      <c r="B308" s="980"/>
      <c r="C308" s="988"/>
      <c r="D308" s="15"/>
      <c r="E308" s="15"/>
      <c r="F308" s="15"/>
      <c r="G308" s="15"/>
      <c r="H308" s="15"/>
      <c r="I308" s="15"/>
      <c r="J308" s="15"/>
      <c r="K308" s="15"/>
      <c r="L308" s="15"/>
      <c r="M308" s="15"/>
      <c r="N308" s="15"/>
      <c r="O308" s="15"/>
      <c r="P308" s="15"/>
      <c r="Q308" s="15"/>
      <c r="R308" s="15"/>
      <c r="S308" s="15"/>
      <c r="T308" s="15"/>
      <c r="U308" s="229" t="s">
        <v>199</v>
      </c>
      <c r="V308" s="272" t="s">
        <v>198</v>
      </c>
      <c r="W308" s="225"/>
      <c r="X308" s="944">
        <f>SUMIFS(COMPRAS!BG:BG,COMPRAS!BF:BF,V308,COMPRAS!CS:CS,"&lt;&gt;01-REGIMEN GENERAL",COMPRAS!DD:DD,"=SI")+SUMIFS(COMPRAS!BP:BP,COMPRAS!BO:BO,V308,COMPRAS!CS:CS,"&lt;&gt;01-REGIMEN GENERAL",COMPRAS!DD:DD,"=SI")+SUMIFS(COMPRAS!BY:BY,COMPRAS!BX:BX,V308,COMPRAS!CS:CS,"&lt;&gt;01-REGIMEN GENERAL",COMPRAS!DD:DD,"=SI")</f>
        <v>0</v>
      </c>
      <c r="Y308" s="945"/>
      <c r="Z308" s="945"/>
      <c r="AA308" s="945"/>
      <c r="AB308" s="224"/>
      <c r="AC308" s="52"/>
      <c r="AD308" s="227"/>
      <c r="AE308" s="944">
        <f>SUMIFS(COMPRAS!BI:BI,COMPRAS!BF:BF,V308,COMPRAS!CS:CS,"&lt;&gt;01-REGIMEN GENERAL",COMPRAS!DD:DD,"=SI")+SUMIFS(COMPRAS!BR:BR,COMPRAS!BO:BO,V308,COMPRAS!CS:CS,"&lt;&gt;01-REGIMEN GENERAL",COMPRAS!DD:DD,"=SI")+SUMIFS(COMPRAS!CA:CA,COMPRAS!BX:BX,V308,COMPRAS!CS:CS,"&lt;&gt;01-REGIMEN GENERAL",COMPRAS!DD:DD,"=SI")</f>
        <v>0</v>
      </c>
      <c r="AF308" s="945"/>
      <c r="AG308" s="945"/>
      <c r="AH308" s="945"/>
      <c r="AI308" s="206"/>
    </row>
    <row r="309" spans="1:35" ht="21" hidden="1" customHeight="1" outlineLevel="2" x14ac:dyDescent="0.35">
      <c r="A309" s="979"/>
      <c r="B309" s="980"/>
      <c r="C309" s="988"/>
      <c r="D309" s="15"/>
      <c r="E309" s="15"/>
      <c r="F309" s="15"/>
      <c r="G309" s="15"/>
      <c r="H309" s="15"/>
      <c r="I309" s="15"/>
      <c r="J309" s="15"/>
      <c r="K309" s="15"/>
      <c r="L309" s="15"/>
      <c r="M309" s="15"/>
      <c r="N309" s="15"/>
      <c r="O309" s="15"/>
      <c r="P309" s="15"/>
      <c r="Q309" s="15"/>
      <c r="R309" s="15"/>
      <c r="S309" s="15"/>
      <c r="T309" s="15"/>
      <c r="U309" s="229" t="s">
        <v>201</v>
      </c>
      <c r="V309" s="272" t="s">
        <v>200</v>
      </c>
      <c r="W309" s="225"/>
      <c r="X309" s="944">
        <f>SUMIFS(COMPRAS!BG:BG,COMPRAS!BF:BF,V309,COMPRAS!CS:CS,"&lt;&gt;01-REGIMEN GENERAL",COMPRAS!DD:DD,"=SI")+SUMIFS(COMPRAS!BP:BP,COMPRAS!BO:BO,V309,COMPRAS!CS:CS,"&lt;&gt;01-REGIMEN GENERAL",COMPRAS!DD:DD,"=SI")+SUMIFS(COMPRAS!BY:BY,COMPRAS!BX:BX,V309,COMPRAS!CS:CS,"&lt;&gt;01-REGIMEN GENERAL",COMPRAS!DD:DD,"=SI")</f>
        <v>0</v>
      </c>
      <c r="Y309" s="945"/>
      <c r="Z309" s="945"/>
      <c r="AA309" s="945"/>
      <c r="AB309" s="224"/>
      <c r="AC309" s="52"/>
      <c r="AD309" s="227"/>
      <c r="AE309" s="944">
        <f>SUMIFS(COMPRAS!BI:BI,COMPRAS!BF:BF,V309,COMPRAS!CS:CS,"&lt;&gt;01-REGIMEN GENERAL",COMPRAS!DD:DD,"=SI")+SUMIFS(COMPRAS!BR:BR,COMPRAS!BO:BO,V309,COMPRAS!CS:CS,"&lt;&gt;01-REGIMEN GENERAL",COMPRAS!DD:DD,"=SI")+SUMIFS(COMPRAS!CA:CA,COMPRAS!BX:BX,V309,COMPRAS!CS:CS,"&lt;&gt;01-REGIMEN GENERAL",COMPRAS!DD:DD,"=SI")</f>
        <v>0</v>
      </c>
      <c r="AF309" s="945"/>
      <c r="AG309" s="945"/>
      <c r="AH309" s="945"/>
      <c r="AI309" s="206"/>
    </row>
    <row r="310" spans="1:35" ht="21" hidden="1" customHeight="1" outlineLevel="2" x14ac:dyDescent="0.35">
      <c r="A310" s="979"/>
      <c r="B310" s="980"/>
      <c r="C310" s="988"/>
      <c r="D310" s="15"/>
      <c r="E310" s="15"/>
      <c r="F310" s="15"/>
      <c r="G310" s="15"/>
      <c r="H310" s="15"/>
      <c r="I310" s="15"/>
      <c r="J310" s="15"/>
      <c r="K310" s="15"/>
      <c r="L310" s="15"/>
      <c r="M310" s="15"/>
      <c r="N310" s="15"/>
      <c r="O310" s="15"/>
      <c r="P310" s="15"/>
      <c r="Q310" s="15"/>
      <c r="R310" s="15"/>
      <c r="S310" s="15"/>
      <c r="T310" s="15"/>
      <c r="U310" s="229" t="s">
        <v>204</v>
      </c>
      <c r="V310" s="272" t="s">
        <v>203</v>
      </c>
      <c r="W310" s="225"/>
      <c r="X310" s="944">
        <f>SUMIFS(COMPRAS!BG:BG,COMPRAS!BF:BF,V310,COMPRAS!CS:CS,"&lt;&gt;01-REGIMEN GENERAL",COMPRAS!DD:DD,"=SI")+SUMIFS(COMPRAS!BP:BP,COMPRAS!BO:BO,V310,COMPRAS!CS:CS,"&lt;&gt;01-REGIMEN GENERAL",COMPRAS!DD:DD,"=SI")+SUMIFS(COMPRAS!BY:BY,COMPRAS!BX:BX,V310,COMPRAS!CS:CS,"&lt;&gt;01-REGIMEN GENERAL",COMPRAS!DD:DD,"=SI")</f>
        <v>0</v>
      </c>
      <c r="Y310" s="945"/>
      <c r="Z310" s="945"/>
      <c r="AA310" s="945"/>
      <c r="AB310" s="224"/>
      <c r="AC310" s="52"/>
      <c r="AD310" s="227"/>
      <c r="AE310" s="944">
        <f>SUMIFS(COMPRAS!BI:BI,COMPRAS!BF:BF,V310,COMPRAS!CS:CS,"&lt;&gt;01-REGIMEN GENERAL",COMPRAS!DD:DD,"=SI")+SUMIFS(COMPRAS!BR:BR,COMPRAS!BO:BO,V310,COMPRAS!CS:CS,"&lt;&gt;01-REGIMEN GENERAL",COMPRAS!DD:DD,"=SI")+SUMIFS(COMPRAS!CA:CA,COMPRAS!BX:BX,V310,COMPRAS!CS:CS,"&lt;&gt;01-REGIMEN GENERAL",COMPRAS!DD:DD,"=SI")</f>
        <v>0</v>
      </c>
      <c r="AF310" s="945"/>
      <c r="AG310" s="945"/>
      <c r="AH310" s="945"/>
      <c r="AI310" s="206"/>
    </row>
    <row r="311" spans="1:35" ht="21" hidden="1" customHeight="1" outlineLevel="2" x14ac:dyDescent="0.35">
      <c r="A311" s="979"/>
      <c r="B311" s="980"/>
      <c r="C311" s="988"/>
      <c r="D311" s="15"/>
      <c r="E311" s="15"/>
      <c r="F311" s="15"/>
      <c r="G311" s="15"/>
      <c r="H311" s="15"/>
      <c r="I311" s="15"/>
      <c r="J311" s="15"/>
      <c r="K311" s="15"/>
      <c r="L311" s="15"/>
      <c r="M311" s="15"/>
      <c r="N311" s="15"/>
      <c r="O311" s="15"/>
      <c r="P311" s="15"/>
      <c r="Q311" s="15"/>
      <c r="R311" s="15"/>
      <c r="S311" s="15"/>
      <c r="T311" s="15"/>
      <c r="U311" s="229" t="s">
        <v>210</v>
      </c>
      <c r="V311" s="272" t="s">
        <v>209</v>
      </c>
      <c r="W311" s="225"/>
      <c r="X311" s="944">
        <f>SUMIFS(COMPRAS!BG:BG,COMPRAS!BF:BF,V311,COMPRAS!CS:CS,"&lt;&gt;01-REGIMEN GENERAL",COMPRAS!DD:DD,"=SI")+SUMIFS(COMPRAS!BP:BP,COMPRAS!BO:BO,V311,COMPRAS!CS:CS,"&lt;&gt;01-REGIMEN GENERAL",COMPRAS!DD:DD,"=SI")+SUMIFS(COMPRAS!BY:BY,COMPRAS!BX:BX,V311,COMPRAS!CS:CS,"&lt;&gt;01-REGIMEN GENERAL",COMPRAS!DD:DD,"=SI")</f>
        <v>0</v>
      </c>
      <c r="Y311" s="945"/>
      <c r="Z311" s="945"/>
      <c r="AA311" s="945"/>
      <c r="AB311" s="224"/>
      <c r="AC311" s="52"/>
      <c r="AD311" s="227"/>
      <c r="AE311" s="944">
        <f>SUMIFS(COMPRAS!BI:BI,COMPRAS!BF:BF,V311,COMPRAS!CS:CS,"&lt;&gt;01-REGIMEN GENERAL",COMPRAS!DD:DD,"=SI")+SUMIFS(COMPRAS!BR:BR,COMPRAS!BO:BO,V311,COMPRAS!CS:CS,"&lt;&gt;01-REGIMEN GENERAL",COMPRAS!DD:DD,"=SI")+SUMIFS(COMPRAS!CA:CA,COMPRAS!BX:BX,V311,COMPRAS!CS:CS,"&lt;&gt;01-REGIMEN GENERAL",COMPRAS!DD:DD,"=SI")</f>
        <v>0</v>
      </c>
      <c r="AF311" s="945"/>
      <c r="AG311" s="945"/>
      <c r="AH311" s="945"/>
      <c r="AI311" s="206"/>
    </row>
    <row r="312" spans="1:35" ht="21" hidden="1" customHeight="1" outlineLevel="2" x14ac:dyDescent="0.35">
      <c r="A312" s="979"/>
      <c r="B312" s="980"/>
      <c r="C312" s="988"/>
      <c r="D312" s="15"/>
      <c r="E312" s="15"/>
      <c r="F312" s="15"/>
      <c r="G312" s="15"/>
      <c r="H312" s="15"/>
      <c r="I312" s="15"/>
      <c r="J312" s="15"/>
      <c r="K312" s="15"/>
      <c r="L312" s="15"/>
      <c r="M312" s="15"/>
      <c r="N312" s="15"/>
      <c r="O312" s="15"/>
      <c r="P312" s="15"/>
      <c r="Q312" s="15"/>
      <c r="R312" s="15"/>
      <c r="S312" s="15"/>
      <c r="T312" s="15"/>
      <c r="U312" s="229" t="s">
        <v>218</v>
      </c>
      <c r="V312" s="272" t="s">
        <v>217</v>
      </c>
      <c r="W312" s="225"/>
      <c r="X312" s="944">
        <f>SUMIFS(COMPRAS!BG:BG,COMPRAS!BF:BF,V312,COMPRAS!CS:CS,"&lt;&gt;01-REGIMEN GENERAL",COMPRAS!DD:DD,"=SI")+SUMIFS(COMPRAS!BP:BP,COMPRAS!BO:BO,V312,COMPRAS!CS:CS,"&lt;&gt;01-REGIMEN GENERAL",COMPRAS!DD:DD,"=SI")+SUMIFS(COMPRAS!BY:BY,COMPRAS!BX:BX,V312,COMPRAS!CS:CS,"&lt;&gt;01-REGIMEN GENERAL",COMPRAS!DD:DD,"=SI")</f>
        <v>0</v>
      </c>
      <c r="Y312" s="945"/>
      <c r="Z312" s="945"/>
      <c r="AA312" s="945"/>
      <c r="AB312" s="224"/>
      <c r="AC312" s="52"/>
      <c r="AD312" s="227"/>
      <c r="AE312" s="944">
        <f>SUMIFS(COMPRAS!BI:BI,COMPRAS!BF:BF,V312,COMPRAS!CS:CS,"&lt;&gt;01-REGIMEN GENERAL",COMPRAS!DD:DD,"=SI")+SUMIFS(COMPRAS!BR:BR,COMPRAS!BO:BO,V312,COMPRAS!CS:CS,"&lt;&gt;01-REGIMEN GENERAL",COMPRAS!DD:DD,"=SI")+SUMIFS(COMPRAS!CA:CA,COMPRAS!BX:BX,V312,COMPRAS!CS:CS,"&lt;&gt;01-REGIMEN GENERAL",COMPRAS!DD:DD,"=SI")</f>
        <v>0</v>
      </c>
      <c r="AF312" s="945"/>
      <c r="AG312" s="945"/>
      <c r="AH312" s="945"/>
      <c r="AI312" s="206"/>
    </row>
    <row r="313" spans="1:35" ht="21" hidden="1" customHeight="1" outlineLevel="2" x14ac:dyDescent="0.35">
      <c r="A313" s="979"/>
      <c r="B313" s="980"/>
      <c r="C313" s="988"/>
      <c r="D313" s="15"/>
      <c r="E313" s="15"/>
      <c r="F313" s="15"/>
      <c r="G313" s="15"/>
      <c r="H313" s="15"/>
      <c r="I313" s="15"/>
      <c r="J313" s="15"/>
      <c r="K313" s="15"/>
      <c r="L313" s="15"/>
      <c r="M313" s="15"/>
      <c r="N313" s="15"/>
      <c r="O313" s="15"/>
      <c r="P313" s="15"/>
      <c r="Q313" s="15"/>
      <c r="R313" s="15"/>
      <c r="S313" s="15"/>
      <c r="T313" s="15"/>
      <c r="U313" s="229" t="s">
        <v>220</v>
      </c>
      <c r="V313" s="272" t="s">
        <v>219</v>
      </c>
      <c r="W313" s="225"/>
      <c r="X313" s="944">
        <f>SUMIFS(COMPRAS!BG:BG,COMPRAS!BF:BF,V313,COMPRAS!CS:CS,"&lt;&gt;01-REGIMEN GENERAL",COMPRAS!DD:DD,"=SI")+SUMIFS(COMPRAS!BP:BP,COMPRAS!BO:BO,V313,COMPRAS!CS:CS,"&lt;&gt;01-REGIMEN GENERAL",COMPRAS!DD:DD,"=SI")+SUMIFS(COMPRAS!BY:BY,COMPRAS!BX:BX,V313,COMPRAS!CS:CS,"&lt;&gt;01-REGIMEN GENERAL",COMPRAS!DD:DD,"=SI")</f>
        <v>0</v>
      </c>
      <c r="Y313" s="945"/>
      <c r="Z313" s="945"/>
      <c r="AA313" s="945"/>
      <c r="AB313" s="224"/>
      <c r="AC313" s="52"/>
      <c r="AD313" s="227"/>
      <c r="AE313" s="944">
        <f>SUMIFS(COMPRAS!BI:BI,COMPRAS!BF:BF,V313,COMPRAS!CS:CS,"&lt;&gt;01-REGIMEN GENERAL",COMPRAS!DD:DD,"=SI")+SUMIFS(COMPRAS!BR:BR,COMPRAS!BO:BO,V313,COMPRAS!CS:CS,"&lt;&gt;01-REGIMEN GENERAL",COMPRAS!DD:DD,"=SI")+SUMIFS(COMPRAS!CA:CA,COMPRAS!BX:BX,V313,COMPRAS!CS:CS,"&lt;&gt;01-REGIMEN GENERAL",COMPRAS!DD:DD,"=SI")</f>
        <v>0</v>
      </c>
      <c r="AF313" s="945"/>
      <c r="AG313" s="945"/>
      <c r="AH313" s="945"/>
      <c r="AI313" s="206"/>
    </row>
    <row r="314" spans="1:35" ht="21" hidden="1" customHeight="1" outlineLevel="2" x14ac:dyDescent="0.35">
      <c r="A314" s="979"/>
      <c r="B314" s="980"/>
      <c r="C314" s="988"/>
      <c r="D314" s="15"/>
      <c r="E314" s="15"/>
      <c r="F314" s="15"/>
      <c r="G314" s="15"/>
      <c r="H314" s="15"/>
      <c r="I314" s="15"/>
      <c r="J314" s="15"/>
      <c r="K314" s="15"/>
      <c r="L314" s="15"/>
      <c r="M314" s="15"/>
      <c r="N314" s="15"/>
      <c r="O314" s="15"/>
      <c r="P314" s="15"/>
      <c r="Q314" s="15"/>
      <c r="R314" s="15"/>
      <c r="S314" s="15"/>
      <c r="T314" s="15"/>
      <c r="U314" s="229" t="s">
        <v>222</v>
      </c>
      <c r="V314" s="272" t="s">
        <v>221</v>
      </c>
      <c r="W314" s="225"/>
      <c r="X314" s="944">
        <f>SUMIFS(COMPRAS!BG:BG,COMPRAS!BF:BF,V314,COMPRAS!CS:CS,"&lt;&gt;01-REGIMEN GENERAL",COMPRAS!DD:DD,"=SI")+SUMIFS(COMPRAS!BP:BP,COMPRAS!BO:BO,V314,COMPRAS!CS:CS,"&lt;&gt;01-REGIMEN GENERAL",COMPRAS!DD:DD,"=SI")+SUMIFS(COMPRAS!BY:BY,COMPRAS!BX:BX,V314,COMPRAS!CS:CS,"&lt;&gt;01-REGIMEN GENERAL",COMPRAS!DD:DD,"=SI")</f>
        <v>0</v>
      </c>
      <c r="Y314" s="945"/>
      <c r="Z314" s="945"/>
      <c r="AA314" s="945"/>
      <c r="AB314" s="224"/>
      <c r="AC314" s="52"/>
      <c r="AD314" s="227"/>
      <c r="AE314" s="944">
        <f>SUMIFS(COMPRAS!BI:BI,COMPRAS!BF:BF,V314,COMPRAS!CS:CS,"&lt;&gt;01-REGIMEN GENERAL",COMPRAS!DD:DD,"=SI")+SUMIFS(COMPRAS!BR:BR,COMPRAS!BO:BO,V314,COMPRAS!CS:CS,"&lt;&gt;01-REGIMEN GENERAL",COMPRAS!DD:DD,"=SI")+SUMIFS(COMPRAS!CA:CA,COMPRAS!BX:BX,V314,COMPRAS!CS:CS,"&lt;&gt;01-REGIMEN GENERAL",COMPRAS!DD:DD,"=SI")</f>
        <v>0</v>
      </c>
      <c r="AF314" s="945"/>
      <c r="AG314" s="945"/>
      <c r="AH314" s="945"/>
      <c r="AI314" s="206"/>
    </row>
    <row r="315" spans="1:35" ht="21" hidden="1" customHeight="1" outlineLevel="2" x14ac:dyDescent="0.35">
      <c r="A315" s="979"/>
      <c r="B315" s="980"/>
      <c r="C315" s="988"/>
      <c r="D315" s="15"/>
      <c r="E315" s="15"/>
      <c r="F315" s="15"/>
      <c r="G315" s="15"/>
      <c r="H315" s="15"/>
      <c r="I315" s="15"/>
      <c r="J315" s="15"/>
      <c r="K315" s="15"/>
      <c r="L315" s="15"/>
      <c r="M315" s="15"/>
      <c r="N315" s="15"/>
      <c r="O315" s="15"/>
      <c r="P315" s="15"/>
      <c r="Q315" s="15"/>
      <c r="R315" s="15"/>
      <c r="S315" s="15"/>
      <c r="T315" s="15"/>
      <c r="U315" s="229" t="s">
        <v>224</v>
      </c>
      <c r="V315" s="272" t="s">
        <v>223</v>
      </c>
      <c r="W315" s="225"/>
      <c r="X315" s="944">
        <f>SUMIFS(COMPRAS!BG:BG,COMPRAS!BF:BF,V315,COMPRAS!CS:CS,"&lt;&gt;01-REGIMEN GENERAL",COMPRAS!DD:DD,"=SI")+SUMIFS(COMPRAS!BP:BP,COMPRAS!BO:BO,V315,COMPRAS!CS:CS,"&lt;&gt;01-REGIMEN GENERAL",COMPRAS!DD:DD,"=SI")+SUMIFS(COMPRAS!BY:BY,COMPRAS!BX:BX,V315,COMPRAS!CS:CS,"&lt;&gt;01-REGIMEN GENERAL",COMPRAS!DD:DD,"=SI")</f>
        <v>0</v>
      </c>
      <c r="Y315" s="945"/>
      <c r="Z315" s="945"/>
      <c r="AA315" s="945"/>
      <c r="AB315" s="224"/>
      <c r="AC315" s="52"/>
      <c r="AD315" s="227"/>
      <c r="AE315" s="944">
        <f>SUMIFS(COMPRAS!BI:BI,COMPRAS!BF:BF,V315,COMPRAS!CS:CS,"&lt;&gt;01-REGIMEN GENERAL",COMPRAS!DD:DD,"=SI")+SUMIFS(COMPRAS!BR:BR,COMPRAS!BO:BO,V315,COMPRAS!CS:CS,"&lt;&gt;01-REGIMEN GENERAL",COMPRAS!DD:DD,"=SI")+SUMIFS(COMPRAS!CA:CA,COMPRAS!BX:BX,V315,COMPRAS!CS:CS,"&lt;&gt;01-REGIMEN GENERAL",COMPRAS!DD:DD,"=SI")</f>
        <v>0</v>
      </c>
      <c r="AF315" s="945"/>
      <c r="AG315" s="945"/>
      <c r="AH315" s="945"/>
      <c r="AI315" s="206"/>
    </row>
    <row r="316" spans="1:35" ht="21" hidden="1" customHeight="1" outlineLevel="2" x14ac:dyDescent="0.35">
      <c r="A316" s="979"/>
      <c r="B316" s="980"/>
      <c r="C316" s="988"/>
      <c r="D316" s="15"/>
      <c r="E316" s="15"/>
      <c r="F316" s="15"/>
      <c r="G316" s="15"/>
      <c r="H316" s="15"/>
      <c r="I316" s="15"/>
      <c r="J316" s="15"/>
      <c r="K316" s="15"/>
      <c r="L316" s="15"/>
      <c r="M316" s="15"/>
      <c r="N316" s="15"/>
      <c r="O316" s="15"/>
      <c r="P316" s="15"/>
      <c r="Q316" s="15"/>
      <c r="R316" s="15"/>
      <c r="S316" s="15"/>
      <c r="T316" s="15"/>
      <c r="U316" s="229" t="s">
        <v>226</v>
      </c>
      <c r="V316" s="272" t="s">
        <v>225</v>
      </c>
      <c r="W316" s="225"/>
      <c r="X316" s="944">
        <f>SUMIFS(COMPRAS!BG:BG,COMPRAS!BF:BF,V316,COMPRAS!CS:CS,"&lt;&gt;01-REGIMEN GENERAL",COMPRAS!DD:DD,"=SI")+SUMIFS(COMPRAS!BP:BP,COMPRAS!BO:BO,V316,COMPRAS!CS:CS,"&lt;&gt;01-REGIMEN GENERAL",COMPRAS!DD:DD,"=SI")+SUMIFS(COMPRAS!BY:BY,COMPRAS!BX:BX,V316,COMPRAS!CS:CS,"&lt;&gt;01-REGIMEN GENERAL",COMPRAS!DD:DD,"=SI")</f>
        <v>0</v>
      </c>
      <c r="Y316" s="945"/>
      <c r="Z316" s="945"/>
      <c r="AA316" s="945"/>
      <c r="AB316" s="224"/>
      <c r="AC316" s="52"/>
      <c r="AD316" s="227"/>
      <c r="AE316" s="944">
        <f>SUMIFS(COMPRAS!BI:BI,COMPRAS!BF:BF,V316,COMPRAS!CS:CS,"&lt;&gt;01-REGIMEN GENERAL",COMPRAS!DD:DD,"=SI")+SUMIFS(COMPRAS!BR:BR,COMPRAS!BO:BO,V316,COMPRAS!CS:CS,"&lt;&gt;01-REGIMEN GENERAL",COMPRAS!DD:DD,"=SI")+SUMIFS(COMPRAS!CA:CA,COMPRAS!BX:BX,V316,COMPRAS!CS:CS,"&lt;&gt;01-REGIMEN GENERAL",COMPRAS!DD:DD,"=SI")</f>
        <v>0</v>
      </c>
      <c r="AF316" s="945"/>
      <c r="AG316" s="945"/>
      <c r="AH316" s="945"/>
      <c r="AI316" s="206"/>
    </row>
    <row r="317" spans="1:35" ht="21" hidden="1" customHeight="1" outlineLevel="2" x14ac:dyDescent="0.35">
      <c r="A317" s="979"/>
      <c r="B317" s="980"/>
      <c r="C317" s="988"/>
      <c r="D317" s="15"/>
      <c r="E317" s="15"/>
      <c r="F317" s="15"/>
      <c r="G317" s="15"/>
      <c r="H317" s="15"/>
      <c r="I317" s="15"/>
      <c r="J317" s="15"/>
      <c r="K317" s="15"/>
      <c r="L317" s="15"/>
      <c r="M317" s="15"/>
      <c r="N317" s="15"/>
      <c r="O317" s="15"/>
      <c r="P317" s="15"/>
      <c r="Q317" s="15"/>
      <c r="R317" s="15"/>
      <c r="S317" s="15"/>
      <c r="T317" s="15"/>
      <c r="U317" s="229" t="s">
        <v>228</v>
      </c>
      <c r="V317" s="272" t="s">
        <v>227</v>
      </c>
      <c r="W317" s="225"/>
      <c r="X317" s="944">
        <f>SUMIFS(COMPRAS!BG:BG,COMPRAS!BF:BF,V317,COMPRAS!CS:CS,"&lt;&gt;01-REGIMEN GENERAL",COMPRAS!DD:DD,"=SI")+SUMIFS(COMPRAS!BP:BP,COMPRAS!BO:BO,V317,COMPRAS!CS:CS,"&lt;&gt;01-REGIMEN GENERAL",COMPRAS!DD:DD,"=SI")+SUMIFS(COMPRAS!BY:BY,COMPRAS!BX:BX,V317,COMPRAS!CS:CS,"&lt;&gt;01-REGIMEN GENERAL",COMPRAS!DD:DD,"=SI")</f>
        <v>0</v>
      </c>
      <c r="Y317" s="945"/>
      <c r="Z317" s="945"/>
      <c r="AA317" s="945"/>
      <c r="AB317" s="224"/>
      <c r="AC317" s="52"/>
      <c r="AD317" s="227"/>
      <c r="AE317" s="944">
        <f>SUMIFS(COMPRAS!BI:BI,COMPRAS!BF:BF,V317,COMPRAS!CS:CS,"&lt;&gt;01-REGIMEN GENERAL",COMPRAS!DD:DD,"=SI")+SUMIFS(COMPRAS!BR:BR,COMPRAS!BO:BO,V317,COMPRAS!CS:CS,"&lt;&gt;01-REGIMEN GENERAL",COMPRAS!DD:DD,"=SI")+SUMIFS(COMPRAS!CA:CA,COMPRAS!BX:BX,V317,COMPRAS!CS:CS,"&lt;&gt;01-REGIMEN GENERAL",COMPRAS!DD:DD,"=SI")</f>
        <v>0</v>
      </c>
      <c r="AF317" s="945"/>
      <c r="AG317" s="945"/>
      <c r="AH317" s="945"/>
      <c r="AI317" s="206"/>
    </row>
    <row r="318" spans="1:35" ht="21" customHeight="1" outlineLevel="1" collapsed="1" x14ac:dyDescent="0.35">
      <c r="A318" s="979"/>
      <c r="B318" s="980"/>
      <c r="C318" s="988"/>
      <c r="D318" s="15" t="s">
        <v>940</v>
      </c>
      <c r="E318" s="15"/>
      <c r="F318" s="15"/>
      <c r="G318" s="15"/>
      <c r="H318" s="15"/>
      <c r="I318" s="15"/>
      <c r="J318" s="15"/>
      <c r="K318" s="15"/>
      <c r="L318" s="15"/>
      <c r="M318" s="15"/>
      <c r="N318" s="15"/>
      <c r="O318" s="15"/>
      <c r="P318" s="15"/>
      <c r="Q318" s="15"/>
      <c r="R318" s="15"/>
      <c r="S318" s="15"/>
      <c r="T318" s="15"/>
      <c r="U318" s="130"/>
      <c r="V318" s="226">
        <v>433</v>
      </c>
      <c r="W318" s="225" t="s">
        <v>773</v>
      </c>
      <c r="X318" s="944">
        <f>SUM(X319:AA319)</f>
        <v>0</v>
      </c>
      <c r="Y318" s="945"/>
      <c r="Z318" s="945"/>
      <c r="AA318" s="945"/>
      <c r="AB318" s="224"/>
      <c r="AC318" s="973"/>
      <c r="AD318" s="974"/>
      <c r="AE318" s="974"/>
      <c r="AF318" s="974"/>
      <c r="AG318" s="974"/>
      <c r="AH318" s="974"/>
      <c r="AI318" s="975"/>
    </row>
    <row r="319" spans="1:35" ht="21" hidden="1" customHeight="1" outlineLevel="2" thickBot="1" x14ac:dyDescent="0.4">
      <c r="A319" s="982"/>
      <c r="B319" s="983"/>
      <c r="C319" s="989"/>
      <c r="D319" s="5"/>
      <c r="E319" s="5"/>
      <c r="F319" s="5"/>
      <c r="G319" s="5"/>
      <c r="H319" s="5"/>
      <c r="I319" s="5"/>
      <c r="J319" s="5"/>
      <c r="K319" s="5"/>
      <c r="L319" s="5"/>
      <c r="M319" s="5"/>
      <c r="N319" s="5"/>
      <c r="O319" s="5"/>
      <c r="P319" s="5"/>
      <c r="Q319" s="5"/>
      <c r="R319" s="5"/>
      <c r="S319" s="5"/>
      <c r="T319" s="5"/>
      <c r="U319" s="223" t="s">
        <v>232</v>
      </c>
      <c r="V319" s="222">
        <v>524</v>
      </c>
      <c r="W319" s="221"/>
      <c r="X319" s="992">
        <f>SUMIFS(COMPRAS!BG:BG,COMPRAS!BF:BF,V319,COMPRAS!CS:CS,"&lt;&gt;01-REGIMEN GENERAL",COMPRAS!DD:DD,"=SI")+SUMIFS(COMPRAS!BP:BP,COMPRAS!BO:BO,V319,COMPRAS!CS:CS,"&lt;&gt;01-REGIMEN GENERAL",COMPRAS!DD:DD,"=SI")+SUMIFS(COMPRAS!BY:BY,COMPRAS!BX:BX,V319,COMPRAS!CS:CS,"&lt;&gt;01-REGIMEN GENERAL",COMPRAS!DD:DD,"=SI")</f>
        <v>0</v>
      </c>
      <c r="Y319" s="993"/>
      <c r="Z319" s="993"/>
      <c r="AA319" s="993"/>
      <c r="AB319" s="220"/>
      <c r="AC319" s="967"/>
      <c r="AD319" s="968"/>
      <c r="AE319" s="968"/>
      <c r="AF319" s="968"/>
      <c r="AG319" s="968"/>
      <c r="AH319" s="968"/>
      <c r="AI319" s="969"/>
    </row>
    <row r="320" spans="1:35" ht="21" customHeight="1" outlineLevel="1" collapsed="1" thickBot="1" x14ac:dyDescent="0.4">
      <c r="A320" s="41"/>
      <c r="B320" s="15"/>
      <c r="C320" s="15"/>
      <c r="D320" s="15"/>
      <c r="E320" s="15"/>
      <c r="F320" s="15"/>
      <c r="G320" s="15"/>
      <c r="H320" s="15"/>
      <c r="I320" s="15"/>
      <c r="J320" s="15"/>
      <c r="K320" s="15"/>
      <c r="L320" s="15"/>
      <c r="M320" s="15"/>
      <c r="N320" s="15"/>
      <c r="O320" s="15"/>
      <c r="P320" s="15"/>
      <c r="Q320" s="15"/>
      <c r="R320" s="15"/>
      <c r="S320" s="15"/>
      <c r="T320" s="15"/>
      <c r="U320" s="245"/>
      <c r="V320" s="246"/>
      <c r="W320" s="225"/>
      <c r="X320" s="992"/>
      <c r="Y320" s="993"/>
      <c r="Z320" s="993"/>
      <c r="AA320" s="993"/>
      <c r="AB320" s="130"/>
      <c r="AC320" s="226"/>
      <c r="AD320" s="74"/>
      <c r="AE320" s="992"/>
      <c r="AF320" s="993"/>
      <c r="AG320" s="993"/>
      <c r="AH320" s="993"/>
      <c r="AI320" s="14"/>
    </row>
    <row r="321" spans="1:35" ht="21" customHeight="1" thickBot="1" x14ac:dyDescent="0.4">
      <c r="A321" s="218" t="s">
        <v>939</v>
      </c>
      <c r="B321" s="137"/>
      <c r="C321" s="137"/>
      <c r="D321" s="137"/>
      <c r="E321" s="137"/>
      <c r="F321" s="137"/>
      <c r="G321" s="137"/>
      <c r="H321" s="137"/>
      <c r="I321" s="137"/>
      <c r="J321" s="137"/>
      <c r="K321" s="137"/>
      <c r="L321" s="137"/>
      <c r="M321" s="137"/>
      <c r="N321" s="137"/>
      <c r="O321" s="137"/>
      <c r="P321" s="137"/>
      <c r="Q321" s="137"/>
      <c r="R321" s="137"/>
      <c r="S321" s="137"/>
      <c r="T321" s="137"/>
      <c r="U321" s="137"/>
      <c r="V321" s="216">
        <v>497</v>
      </c>
      <c r="W321" s="216" t="s">
        <v>771</v>
      </c>
      <c r="X321" s="990">
        <f>X149+X151+X155+X159+X161+X163+X165+X167+X169+X171+X173+X175+X177+X204+X206+X208+X212+X216+X218+X220+X222+X224+X226+X228+X230+X232+X234+X261+X263+X268+X272+X274+X276+X278+X280+X283+X285+X287+X289+X291+X318</f>
        <v>0</v>
      </c>
      <c r="Y321" s="991"/>
      <c r="Z321" s="991"/>
      <c r="AA321" s="991"/>
      <c r="AB321" s="219"/>
      <c r="AC321" s="216">
        <v>498</v>
      </c>
      <c r="AD321" s="216" t="s">
        <v>771</v>
      </c>
      <c r="AE321" s="990">
        <f>AE149+AE151+AE155+AE159+AE161+AE163+AE165+AE167+AE169+AE171+AE173+AE175+AE177+AE204+AE206+AE208+AE212+AE216+AE218+AE220+AE222+AE224+AE226+AE228+AE230+AE232+AE234+AE261+AE263+AE268+AE272+AE274+AE276+AE278+AE280+AE283+AE285+AE287+AE289+AE291+AE318</f>
        <v>0</v>
      </c>
      <c r="AF321" s="991"/>
      <c r="AG321" s="991"/>
      <c r="AH321" s="991"/>
      <c r="AI321" s="208"/>
    </row>
    <row r="322" spans="1:35" ht="11.15" customHeight="1" thickBot="1" x14ac:dyDescent="0.4">
      <c r="A322" s="64"/>
      <c r="B322" s="33"/>
      <c r="C322" s="33"/>
      <c r="D322" s="33"/>
      <c r="E322" s="33"/>
      <c r="F322" s="33"/>
      <c r="G322" s="33"/>
      <c r="H322" s="33"/>
      <c r="I322" s="33"/>
      <c r="J322" s="33"/>
      <c r="K322" s="33"/>
      <c r="L322" s="33"/>
      <c r="M322" s="33"/>
      <c r="N322" s="33"/>
      <c r="O322" s="33"/>
      <c r="P322" s="33"/>
      <c r="Q322" s="33"/>
      <c r="R322" s="33"/>
      <c r="S322" s="33"/>
      <c r="T322" s="33"/>
      <c r="U322" s="33"/>
      <c r="V322" s="214"/>
      <c r="W322" s="213"/>
      <c r="X322" s="57"/>
      <c r="Y322" s="57"/>
      <c r="Z322" s="57"/>
      <c r="AA322" s="33"/>
      <c r="AB322" s="214"/>
      <c r="AC322" s="214"/>
      <c r="AD322" s="213"/>
      <c r="AE322" s="57"/>
      <c r="AF322" s="57"/>
      <c r="AG322" s="33"/>
      <c r="AH322" s="57"/>
      <c r="AI322" s="56"/>
    </row>
    <row r="323" spans="1:35" ht="21" customHeight="1" thickBot="1" x14ac:dyDescent="0.4">
      <c r="A323" s="218" t="s">
        <v>938</v>
      </c>
      <c r="B323" s="137"/>
      <c r="C323" s="137"/>
      <c r="D323" s="137"/>
      <c r="E323" s="137"/>
      <c r="F323" s="137"/>
      <c r="G323" s="137"/>
      <c r="H323" s="137"/>
      <c r="I323" s="137"/>
      <c r="J323" s="137"/>
      <c r="K323" s="137"/>
      <c r="L323" s="137"/>
      <c r="M323" s="137"/>
      <c r="N323" s="137"/>
      <c r="O323" s="137"/>
      <c r="P323" s="137"/>
      <c r="Q323" s="137"/>
      <c r="R323" s="137"/>
      <c r="S323" s="137"/>
      <c r="T323" s="137"/>
      <c r="U323" s="137"/>
      <c r="V323" s="137"/>
      <c r="W323" s="137"/>
      <c r="X323" s="137"/>
      <c r="Y323" s="137"/>
      <c r="Z323" s="137"/>
      <c r="AA323" s="137"/>
      <c r="AB323" s="217" t="s">
        <v>937</v>
      </c>
      <c r="AC323" s="216">
        <v>499</v>
      </c>
      <c r="AD323" s="216" t="s">
        <v>771</v>
      </c>
      <c r="AE323" s="990">
        <f>AE147+AE321</f>
        <v>0</v>
      </c>
      <c r="AF323" s="991"/>
      <c r="AG323" s="991"/>
      <c r="AH323" s="991"/>
      <c r="AI323" s="208"/>
    </row>
    <row r="324" spans="1:35" ht="9" customHeight="1" thickBot="1" x14ac:dyDescent="0.4">
      <c r="A324" s="64"/>
      <c r="B324" s="33"/>
      <c r="C324" s="33"/>
      <c r="D324" s="33"/>
      <c r="E324" s="33"/>
      <c r="F324" s="33"/>
      <c r="G324" s="33"/>
      <c r="H324" s="33"/>
      <c r="I324" s="33"/>
      <c r="J324" s="33"/>
      <c r="K324" s="33"/>
      <c r="L324" s="33"/>
      <c r="M324" s="33"/>
      <c r="N324" s="33"/>
      <c r="O324" s="33"/>
      <c r="P324" s="33"/>
      <c r="Q324" s="33"/>
      <c r="R324" s="33"/>
      <c r="S324" s="33"/>
      <c r="T324" s="33"/>
      <c r="U324" s="33"/>
      <c r="V324" s="214"/>
      <c r="W324" s="213"/>
      <c r="X324" s="57"/>
      <c r="Y324" s="57"/>
      <c r="Z324" s="57"/>
      <c r="AA324" s="33"/>
      <c r="AB324" s="214"/>
      <c r="AC324" s="214"/>
      <c r="AD324" s="213"/>
      <c r="AE324" s="57"/>
      <c r="AF324" s="57"/>
      <c r="AG324" s="33"/>
      <c r="AH324" s="57"/>
      <c r="AI324" s="56"/>
    </row>
    <row r="325" spans="1:35" ht="24" customHeight="1" thickBot="1" x14ac:dyDescent="0.4">
      <c r="A325" s="60" t="s">
        <v>936</v>
      </c>
      <c r="B325" s="57"/>
      <c r="C325" s="57"/>
      <c r="D325" s="57"/>
      <c r="E325" s="57"/>
      <c r="F325" s="57"/>
      <c r="G325" s="57"/>
      <c r="H325" s="57"/>
      <c r="I325" s="57"/>
      <c r="J325" s="57"/>
      <c r="K325" s="57"/>
      <c r="L325" s="57"/>
      <c r="M325" s="57"/>
      <c r="N325" s="57"/>
      <c r="O325" s="57"/>
      <c r="P325" s="57"/>
      <c r="Q325" s="57"/>
      <c r="R325" s="57"/>
      <c r="S325" s="57"/>
      <c r="T325" s="57"/>
      <c r="U325" s="57"/>
      <c r="V325" s="57"/>
      <c r="W325" s="57"/>
      <c r="X325" s="57"/>
      <c r="Y325" s="57"/>
      <c r="Z325" s="57"/>
      <c r="AA325" s="57"/>
      <c r="AB325" s="57"/>
      <c r="AC325" s="46">
        <v>890</v>
      </c>
      <c r="AD325" s="212" t="s">
        <v>756</v>
      </c>
      <c r="AE325" s="985">
        <f>I327+U327+AE327</f>
        <v>0</v>
      </c>
      <c r="AF325" s="986"/>
      <c r="AG325" s="986"/>
      <c r="AH325" s="986"/>
      <c r="AI325" s="56"/>
    </row>
    <row r="326" spans="1:35" ht="21" customHeight="1" thickBot="1" x14ac:dyDescent="0.4">
      <c r="A326" s="1016" t="s">
        <v>784</v>
      </c>
      <c r="B326" s="1017"/>
      <c r="C326" s="1017"/>
      <c r="D326" s="1017"/>
      <c r="E326" s="1017"/>
      <c r="F326" s="1017"/>
      <c r="G326" s="1017"/>
      <c r="H326" s="1017"/>
      <c r="I326" s="1017"/>
      <c r="J326" s="1017"/>
      <c r="K326" s="1017"/>
      <c r="L326" s="1017"/>
      <c r="M326" s="1017"/>
      <c r="N326" s="1017"/>
      <c r="O326" s="1017"/>
      <c r="P326" s="1017"/>
      <c r="Q326" s="1017"/>
      <c r="R326" s="1017"/>
      <c r="S326" s="1017"/>
      <c r="T326" s="1017"/>
      <c r="U326" s="1017"/>
      <c r="V326" s="1017"/>
      <c r="W326" s="1017"/>
      <c r="X326" s="1017"/>
      <c r="Y326" s="1017"/>
      <c r="Z326" s="1017"/>
      <c r="AA326" s="1017"/>
      <c r="AB326" s="1017"/>
      <c r="AC326" s="1017"/>
      <c r="AD326" s="1017"/>
      <c r="AE326" s="1017"/>
      <c r="AF326" s="1017"/>
      <c r="AG326" s="1017"/>
      <c r="AH326" s="1017"/>
      <c r="AI326" s="1018"/>
    </row>
    <row r="327" spans="1:35" ht="21" customHeight="1" thickBot="1" x14ac:dyDescent="0.4">
      <c r="A327" s="996" t="s">
        <v>783</v>
      </c>
      <c r="B327" s="997"/>
      <c r="C327" s="997"/>
      <c r="D327" s="997"/>
      <c r="E327" s="997"/>
      <c r="F327" s="997"/>
      <c r="G327" s="215">
        <v>897</v>
      </c>
      <c r="H327" s="67" t="s">
        <v>756</v>
      </c>
      <c r="I327" s="986">
        <v>0</v>
      </c>
      <c r="J327" s="986"/>
      <c r="K327" s="986"/>
      <c r="L327" s="33"/>
      <c r="M327" s="1006" t="s">
        <v>782</v>
      </c>
      <c r="N327" s="1007"/>
      <c r="O327" s="1007"/>
      <c r="P327" s="1007"/>
      <c r="Q327" s="1007"/>
      <c r="R327" s="1007"/>
      <c r="S327" s="215">
        <v>898</v>
      </c>
      <c r="T327" s="67" t="s">
        <v>756</v>
      </c>
      <c r="U327" s="986">
        <v>0</v>
      </c>
      <c r="V327" s="986"/>
      <c r="W327" s="986"/>
      <c r="X327" s="57"/>
      <c r="Y327" s="1006" t="s">
        <v>781</v>
      </c>
      <c r="Z327" s="1007"/>
      <c r="AA327" s="1007"/>
      <c r="AB327" s="1007"/>
      <c r="AC327" s="215">
        <v>899</v>
      </c>
      <c r="AD327" s="212" t="s">
        <v>756</v>
      </c>
      <c r="AE327" s="985">
        <v>0</v>
      </c>
      <c r="AF327" s="986"/>
      <c r="AG327" s="986"/>
      <c r="AH327" s="986"/>
      <c r="AI327" s="56"/>
    </row>
    <row r="328" spans="1:35" ht="9" customHeight="1" thickBot="1" x14ac:dyDescent="0.4">
      <c r="A328" s="64"/>
      <c r="B328" s="33"/>
      <c r="C328" s="33"/>
      <c r="D328" s="33"/>
      <c r="E328" s="33"/>
      <c r="F328" s="33"/>
      <c r="G328" s="33"/>
      <c r="H328" s="33"/>
      <c r="I328" s="33"/>
      <c r="J328" s="33"/>
      <c r="K328" s="33"/>
      <c r="L328" s="33"/>
      <c r="M328" s="33"/>
      <c r="N328" s="33"/>
      <c r="O328" s="33"/>
      <c r="P328" s="33"/>
      <c r="Q328" s="33"/>
      <c r="R328" s="33"/>
      <c r="S328" s="33"/>
      <c r="T328" s="33"/>
      <c r="U328" s="33"/>
      <c r="V328" s="214"/>
      <c r="W328" s="213"/>
      <c r="X328" s="57"/>
      <c r="Y328" s="57"/>
      <c r="Z328" s="57"/>
      <c r="AA328" s="33"/>
      <c r="AB328" s="214"/>
      <c r="AC328" s="214"/>
      <c r="AD328" s="213"/>
      <c r="AE328" s="57"/>
      <c r="AF328" s="57"/>
      <c r="AG328" s="33"/>
      <c r="AH328" s="57"/>
      <c r="AI328" s="56"/>
    </row>
    <row r="329" spans="1:35" ht="24" customHeight="1" thickBot="1" x14ac:dyDescent="0.4">
      <c r="A329" s="60" t="s">
        <v>780</v>
      </c>
      <c r="B329" s="57"/>
      <c r="C329" s="57"/>
      <c r="D329" s="57"/>
      <c r="E329" s="57"/>
      <c r="F329" s="57"/>
      <c r="G329" s="57"/>
      <c r="H329" s="57"/>
      <c r="I329" s="57"/>
      <c r="J329" s="57"/>
      <c r="K329" s="57"/>
      <c r="L329" s="57"/>
      <c r="M329" s="57"/>
      <c r="N329" s="57"/>
      <c r="O329" s="57"/>
      <c r="P329" s="57"/>
      <c r="Q329" s="57"/>
      <c r="R329" s="57"/>
      <c r="S329" s="57"/>
      <c r="T329" s="57"/>
      <c r="U329" s="57"/>
      <c r="V329" s="57"/>
      <c r="W329" s="57"/>
      <c r="X329" s="57"/>
      <c r="Y329" s="57"/>
      <c r="Z329" s="57"/>
      <c r="AA329" s="57"/>
      <c r="AB329" s="57"/>
      <c r="AC329" s="46">
        <v>880</v>
      </c>
      <c r="AD329" s="212" t="s">
        <v>756</v>
      </c>
      <c r="AE329" s="985">
        <v>0</v>
      </c>
      <c r="AF329" s="986"/>
      <c r="AG329" s="986"/>
      <c r="AH329" s="986"/>
      <c r="AI329" s="56"/>
    </row>
    <row r="330" spans="1:35" ht="9" customHeight="1" thickBot="1" x14ac:dyDescent="0.4">
      <c r="A330" s="23"/>
      <c r="AI330" s="19"/>
    </row>
    <row r="331" spans="1:35" ht="24" customHeight="1" thickBot="1" x14ac:dyDescent="0.4">
      <c r="A331" s="211" t="s">
        <v>778</v>
      </c>
      <c r="B331" s="209"/>
      <c r="C331" s="209"/>
      <c r="D331" s="209"/>
      <c r="E331" s="209"/>
      <c r="F331" s="210"/>
      <c r="G331" s="209"/>
      <c r="H331" s="209"/>
      <c r="I331" s="209"/>
      <c r="J331" s="209"/>
      <c r="K331" s="209"/>
      <c r="L331" s="209"/>
      <c r="M331" s="209"/>
      <c r="N331" s="209"/>
      <c r="O331" s="209"/>
      <c r="P331" s="209"/>
      <c r="Q331" s="209"/>
      <c r="R331" s="209"/>
      <c r="S331" s="209"/>
      <c r="T331" s="209"/>
      <c r="U331" s="209"/>
      <c r="V331" s="209"/>
      <c r="W331" s="209"/>
      <c r="X331" s="209"/>
      <c r="Y331" s="209"/>
      <c r="Z331" s="209"/>
      <c r="AA331" s="209"/>
      <c r="AB331" s="209"/>
      <c r="AC331" s="209"/>
      <c r="AD331" s="209"/>
      <c r="AE331" s="209"/>
      <c r="AF331" s="209"/>
      <c r="AG331" s="209"/>
      <c r="AH331" s="209"/>
      <c r="AI331" s="208"/>
    </row>
    <row r="332" spans="1:35" ht="24" customHeight="1" x14ac:dyDescent="0.35">
      <c r="A332" s="42" t="s">
        <v>777</v>
      </c>
      <c r="B332" s="15"/>
      <c r="C332" s="15"/>
      <c r="D332" s="15"/>
      <c r="E332" s="15"/>
      <c r="F332" s="15"/>
      <c r="G332" s="15"/>
      <c r="H332" s="15"/>
      <c r="I332" s="15"/>
      <c r="J332" s="15"/>
      <c r="K332" s="15"/>
      <c r="L332" s="15"/>
      <c r="M332" s="15"/>
      <c r="N332" s="15"/>
      <c r="O332" s="15"/>
      <c r="P332" s="15"/>
      <c r="Q332" s="15"/>
      <c r="R332" s="15"/>
      <c r="S332" s="15"/>
      <c r="T332" s="15"/>
      <c r="U332" s="15"/>
      <c r="V332" s="15"/>
      <c r="W332" s="15"/>
      <c r="X332" s="15"/>
      <c r="Y332" s="15"/>
      <c r="Z332" s="15"/>
      <c r="AA332" s="15"/>
      <c r="AB332" s="207" t="s">
        <v>935</v>
      </c>
      <c r="AC332" s="54">
        <v>902</v>
      </c>
      <c r="AD332" s="53" t="s">
        <v>773</v>
      </c>
      <c r="AE332" s="994">
        <f>AE323-U327</f>
        <v>0</v>
      </c>
      <c r="AF332" s="995"/>
      <c r="AG332" s="995"/>
      <c r="AH332" s="995"/>
      <c r="AI332" s="14"/>
    </row>
    <row r="333" spans="1:35" ht="24" customHeight="1" x14ac:dyDescent="0.35">
      <c r="A333" s="42" t="s">
        <v>775</v>
      </c>
      <c r="B333" s="15"/>
      <c r="C333" s="15"/>
      <c r="D333" s="15"/>
      <c r="E333" s="15"/>
      <c r="F333" s="15"/>
      <c r="G333" s="15"/>
      <c r="H333" s="15"/>
      <c r="I333" s="15"/>
      <c r="J333" s="15"/>
      <c r="K333" s="15"/>
      <c r="L333" s="15"/>
      <c r="M333" s="15"/>
      <c r="N333" s="15"/>
      <c r="O333" s="15"/>
      <c r="P333" s="15"/>
      <c r="Q333" s="15"/>
      <c r="R333" s="15"/>
      <c r="S333" s="15"/>
      <c r="T333" s="15"/>
      <c r="U333" s="15"/>
      <c r="V333" s="15"/>
      <c r="W333" s="15"/>
      <c r="X333" s="15"/>
      <c r="Y333" s="15"/>
      <c r="Z333" s="15"/>
      <c r="AA333" s="15"/>
      <c r="AB333" s="15"/>
      <c r="AC333" s="54">
        <v>903</v>
      </c>
      <c r="AD333" s="53" t="s">
        <v>773</v>
      </c>
      <c r="AE333" s="944">
        <v>0</v>
      </c>
      <c r="AF333" s="945"/>
      <c r="AG333" s="945"/>
      <c r="AH333" s="945"/>
      <c r="AI333" s="14"/>
    </row>
    <row r="334" spans="1:35" ht="24" customHeight="1" thickBot="1" x14ac:dyDescent="0.4">
      <c r="A334" s="38" t="s">
        <v>774</v>
      </c>
      <c r="B334" s="37"/>
      <c r="C334" s="37"/>
      <c r="D334" s="37"/>
      <c r="E334" s="37"/>
      <c r="F334" s="37"/>
      <c r="G334" s="37"/>
      <c r="H334" s="37"/>
      <c r="I334" s="37"/>
      <c r="J334" s="37"/>
      <c r="K334" s="37"/>
      <c r="L334" s="37"/>
      <c r="M334" s="37"/>
      <c r="N334" s="37"/>
      <c r="O334" s="37"/>
      <c r="P334" s="37"/>
      <c r="Q334" s="37"/>
      <c r="R334" s="37"/>
      <c r="S334" s="37"/>
      <c r="T334" s="37"/>
      <c r="U334" s="37"/>
      <c r="V334" s="37"/>
      <c r="W334" s="37"/>
      <c r="X334" s="37"/>
      <c r="Y334" s="37"/>
      <c r="Z334" s="37"/>
      <c r="AA334" s="37"/>
      <c r="AB334" s="37"/>
      <c r="AC334" s="52">
        <v>904</v>
      </c>
      <c r="AD334" s="51" t="s">
        <v>773</v>
      </c>
      <c r="AE334" s="992">
        <v>0</v>
      </c>
      <c r="AF334" s="993"/>
      <c r="AG334" s="993"/>
      <c r="AH334" s="993"/>
      <c r="AI334" s="205"/>
    </row>
    <row r="335" spans="1:35" ht="24" customHeight="1" thickBot="1" x14ac:dyDescent="0.4">
      <c r="A335" s="50" t="s">
        <v>772</v>
      </c>
      <c r="B335" s="49"/>
      <c r="C335" s="49"/>
      <c r="D335" s="49"/>
      <c r="E335" s="49"/>
      <c r="F335" s="49"/>
      <c r="G335" s="49"/>
      <c r="H335" s="49"/>
      <c r="I335" s="49"/>
      <c r="J335" s="49"/>
      <c r="K335" s="49"/>
      <c r="L335" s="49"/>
      <c r="M335" s="49"/>
      <c r="N335" s="49"/>
      <c r="O335" s="49"/>
      <c r="P335" s="49"/>
      <c r="Q335" s="49"/>
      <c r="R335" s="49"/>
      <c r="S335" s="49"/>
      <c r="T335" s="49"/>
      <c r="U335" s="49"/>
      <c r="V335" s="49"/>
      <c r="W335" s="49"/>
      <c r="X335" s="49"/>
      <c r="Y335" s="49"/>
      <c r="Z335" s="49"/>
      <c r="AA335" s="49"/>
      <c r="AB335" s="49"/>
      <c r="AC335" s="47">
        <v>999</v>
      </c>
      <c r="AD335" s="46" t="s">
        <v>771</v>
      </c>
      <c r="AE335" s="1001">
        <f>SUM(AE332:AH334)</f>
        <v>0</v>
      </c>
      <c r="AF335" s="966"/>
      <c r="AG335" s="966"/>
      <c r="AH335" s="966"/>
      <c r="AI335" s="56"/>
    </row>
    <row r="336" spans="1:35" ht="24" customHeight="1" x14ac:dyDescent="0.35">
      <c r="A336" s="45" t="s">
        <v>770</v>
      </c>
      <c r="B336" s="43"/>
      <c r="C336" s="43"/>
      <c r="D336" s="43"/>
      <c r="E336" s="43"/>
      <c r="F336" s="44"/>
      <c r="G336" s="43"/>
      <c r="H336" s="43"/>
      <c r="I336" s="43"/>
      <c r="J336" s="43"/>
      <c r="K336" s="43"/>
      <c r="L336" s="43"/>
      <c r="M336" s="43"/>
      <c r="N336" s="43"/>
      <c r="O336" s="43"/>
      <c r="P336" s="43"/>
      <c r="Q336" s="43"/>
      <c r="R336" s="43"/>
      <c r="S336" s="43"/>
      <c r="T336" s="43"/>
      <c r="U336" s="43"/>
      <c r="V336" s="43"/>
      <c r="W336" s="43"/>
      <c r="X336" s="43"/>
      <c r="Y336" s="43"/>
      <c r="Z336" s="43"/>
      <c r="AA336" s="43"/>
      <c r="AB336" s="43"/>
      <c r="AC336" s="40" t="s">
        <v>769</v>
      </c>
      <c r="AD336" s="39" t="s">
        <v>756</v>
      </c>
      <c r="AE336" s="995">
        <f>+AE335</f>
        <v>0</v>
      </c>
      <c r="AF336" s="995"/>
      <c r="AG336" s="995"/>
      <c r="AH336" s="995"/>
      <c r="AI336" s="206"/>
    </row>
    <row r="337" spans="1:35" ht="24" customHeight="1" thickBot="1" x14ac:dyDescent="0.4">
      <c r="A337" s="38" t="s">
        <v>766</v>
      </c>
      <c r="B337" s="37"/>
      <c r="C337" s="37"/>
      <c r="D337" s="37"/>
      <c r="E337" s="37"/>
      <c r="F337" s="37"/>
      <c r="G337" s="37"/>
      <c r="H337" s="37"/>
      <c r="I337" s="37"/>
      <c r="J337" s="37"/>
      <c r="K337" s="37"/>
      <c r="L337" s="37"/>
      <c r="M337" s="37"/>
      <c r="N337" s="37"/>
      <c r="O337" s="37"/>
      <c r="P337" s="37"/>
      <c r="Q337" s="37"/>
      <c r="R337" s="37"/>
      <c r="S337" s="37"/>
      <c r="T337" s="37"/>
      <c r="U337" s="37"/>
      <c r="V337" s="37"/>
      <c r="W337" s="37"/>
      <c r="X337" s="37"/>
      <c r="Y337" s="37"/>
      <c r="Z337" s="37"/>
      <c r="AA337" s="37"/>
      <c r="AB337" s="37"/>
      <c r="AC337" s="36" t="s">
        <v>765</v>
      </c>
      <c r="AD337" s="35" t="s">
        <v>756</v>
      </c>
      <c r="AE337" s="993">
        <v>0</v>
      </c>
      <c r="AF337" s="993"/>
      <c r="AG337" s="993"/>
      <c r="AH337" s="993"/>
      <c r="AI337" s="205"/>
    </row>
    <row r="338" spans="1:35" ht="30" customHeight="1" thickBot="1" x14ac:dyDescent="0.4">
      <c r="A338" s="1011" t="s">
        <v>762</v>
      </c>
      <c r="B338" s="1012"/>
      <c r="C338" s="1012"/>
      <c r="D338" s="1012"/>
      <c r="E338" s="1012"/>
      <c r="F338" s="1012"/>
      <c r="G338" s="1012"/>
      <c r="H338" s="1012"/>
      <c r="I338" s="1012"/>
      <c r="J338" s="1012"/>
      <c r="K338" s="1012"/>
      <c r="L338" s="1012"/>
      <c r="M338" s="1012"/>
      <c r="N338" s="1012"/>
      <c r="O338" s="1012"/>
      <c r="P338" s="1012"/>
      <c r="Q338" s="1012"/>
      <c r="R338" s="1012"/>
      <c r="S338" s="1012"/>
      <c r="T338" s="1012"/>
      <c r="U338" s="1012"/>
      <c r="V338" s="1012"/>
      <c r="W338" s="1012"/>
      <c r="X338" s="1012"/>
      <c r="Y338" s="1012"/>
      <c r="Z338" s="1012"/>
      <c r="AA338" s="1012"/>
      <c r="AB338" s="1013" t="s">
        <v>934</v>
      </c>
      <c r="AC338" s="1014"/>
      <c r="AD338" s="1014"/>
      <c r="AE338" s="1014"/>
      <c r="AF338" s="1014"/>
      <c r="AG338" s="1014"/>
      <c r="AH338" s="1014"/>
      <c r="AI338" s="1015"/>
    </row>
    <row r="339" spans="1:35" ht="24" customHeight="1" x14ac:dyDescent="0.35">
      <c r="A339" s="204">
        <v>908</v>
      </c>
      <c r="B339" s="201" t="s">
        <v>758</v>
      </c>
      <c r="C339" s="203"/>
      <c r="D339" s="995"/>
      <c r="E339" s="995"/>
      <c r="F339" s="995"/>
      <c r="G339" s="995"/>
      <c r="H339" s="995"/>
      <c r="I339" s="995"/>
      <c r="J339" s="202">
        <v>910</v>
      </c>
      <c r="K339" s="201" t="s">
        <v>758</v>
      </c>
      <c r="L339" s="200"/>
      <c r="M339" s="1000"/>
      <c r="N339" s="1000"/>
      <c r="O339" s="1000"/>
      <c r="P339" s="1000"/>
      <c r="Q339" s="1000"/>
      <c r="R339" s="1000"/>
      <c r="S339" s="202">
        <v>912</v>
      </c>
      <c r="T339" s="201" t="s">
        <v>758</v>
      </c>
      <c r="U339" s="200"/>
      <c r="V339" s="1000"/>
      <c r="W339" s="1000"/>
      <c r="X339" s="1000"/>
      <c r="Y339" s="1000"/>
      <c r="Z339" s="1000"/>
      <c r="AA339" s="1000"/>
      <c r="AB339" s="1008"/>
      <c r="AC339" s="1009"/>
      <c r="AD339" s="1009"/>
      <c r="AE339" s="1009"/>
      <c r="AF339" s="1009"/>
      <c r="AG339" s="1009"/>
      <c r="AH339" s="1009"/>
      <c r="AI339" s="1010"/>
    </row>
    <row r="340" spans="1:35" ht="24" customHeight="1" thickBot="1" x14ac:dyDescent="0.4">
      <c r="A340" s="28">
        <v>909</v>
      </c>
      <c r="B340" s="26" t="s">
        <v>756</v>
      </c>
      <c r="C340" s="194"/>
      <c r="D340" s="993">
        <v>0</v>
      </c>
      <c r="E340" s="993"/>
      <c r="F340" s="993"/>
      <c r="G340" s="993"/>
      <c r="H340" s="993"/>
      <c r="I340" s="993"/>
      <c r="J340" s="29">
        <v>911</v>
      </c>
      <c r="K340" s="26" t="s">
        <v>756</v>
      </c>
      <c r="L340" s="194"/>
      <c r="M340" s="993">
        <v>0</v>
      </c>
      <c r="N340" s="993"/>
      <c r="O340" s="993"/>
      <c r="P340" s="993"/>
      <c r="Q340" s="993"/>
      <c r="R340" s="1002"/>
      <c r="S340" s="27">
        <v>913</v>
      </c>
      <c r="T340" s="26" t="s">
        <v>756</v>
      </c>
      <c r="U340" s="194"/>
      <c r="V340" s="993">
        <v>0</v>
      </c>
      <c r="W340" s="993"/>
      <c r="X340" s="993"/>
      <c r="Y340" s="993"/>
      <c r="Z340" s="993"/>
      <c r="AA340" s="1002"/>
      <c r="AB340" s="27">
        <v>915</v>
      </c>
      <c r="AC340" s="26" t="s">
        <v>756</v>
      </c>
      <c r="AD340" s="998">
        <v>0</v>
      </c>
      <c r="AE340" s="998"/>
      <c r="AF340" s="998"/>
      <c r="AG340" s="998"/>
      <c r="AH340" s="998"/>
      <c r="AI340" s="999"/>
    </row>
    <row r="341" spans="1:35" ht="24" customHeight="1" x14ac:dyDescent="0.35">
      <c r="A341" s="1003" t="s">
        <v>755</v>
      </c>
      <c r="B341" s="1004"/>
      <c r="C341" s="1004"/>
      <c r="D341" s="1004"/>
      <c r="E341" s="1004"/>
      <c r="F341" s="1004"/>
      <c r="G341" s="1004"/>
      <c r="H341" s="1004"/>
      <c r="I341" s="1004"/>
      <c r="J341" s="1004"/>
      <c r="K341" s="1004"/>
      <c r="L341" s="1004"/>
      <c r="M341" s="1004"/>
      <c r="N341" s="1004"/>
      <c r="O341" s="1004"/>
      <c r="P341" s="1004"/>
      <c r="Q341" s="1004"/>
      <c r="R341" s="1004"/>
      <c r="S341" s="1004"/>
      <c r="T341" s="1004"/>
      <c r="U341" s="1004"/>
      <c r="V341" s="1004"/>
      <c r="W341" s="1004"/>
      <c r="X341" s="1004"/>
      <c r="Y341" s="1004"/>
      <c r="Z341" s="1004"/>
      <c r="AA341" s="1004"/>
      <c r="AB341" s="1004"/>
      <c r="AC341" s="1004"/>
      <c r="AD341" s="1004"/>
      <c r="AE341" s="1004"/>
      <c r="AF341" s="1004"/>
      <c r="AG341" s="1004"/>
      <c r="AH341" s="1004"/>
      <c r="AI341" s="1005"/>
    </row>
    <row r="342" spans="1:35" ht="24" customHeight="1" x14ac:dyDescent="0.35">
      <c r="A342" s="199"/>
      <c r="B342" s="198"/>
      <c r="C342" s="198"/>
      <c r="D342" s="198"/>
      <c r="E342" s="198"/>
      <c r="F342" s="198"/>
      <c r="G342" s="198"/>
      <c r="H342" s="198"/>
      <c r="I342" s="198"/>
      <c r="J342" s="198"/>
      <c r="K342" s="198"/>
      <c r="L342" s="198"/>
      <c r="M342" s="198"/>
      <c r="N342" s="198"/>
      <c r="O342" s="198"/>
      <c r="P342" s="198"/>
      <c r="Q342" s="198"/>
      <c r="R342" s="198"/>
      <c r="S342" s="198"/>
      <c r="T342" s="198"/>
      <c r="U342" s="198"/>
      <c r="V342" s="198"/>
      <c r="W342" s="198"/>
      <c r="X342" s="198"/>
      <c r="Y342" s="198"/>
      <c r="Z342" s="198"/>
      <c r="AA342" s="198"/>
      <c r="AB342" s="198"/>
      <c r="AC342" s="198"/>
      <c r="AD342" s="198"/>
      <c r="AE342" s="198"/>
      <c r="AF342" s="198"/>
      <c r="AG342" s="198"/>
      <c r="AH342" s="198"/>
      <c r="AI342" s="197"/>
    </row>
    <row r="343" spans="1:35" ht="24" customHeight="1" x14ac:dyDescent="0.35">
      <c r="A343" s="23"/>
      <c r="C343" s="20"/>
      <c r="D343" s="20"/>
      <c r="E343" s="20"/>
      <c r="F343" s="20"/>
      <c r="U343" s="3"/>
      <c r="AI343" s="19"/>
    </row>
    <row r="344" spans="1:35" ht="24" customHeight="1" x14ac:dyDescent="0.35">
      <c r="A344" s="25"/>
      <c r="B344" s="24"/>
      <c r="C344" s="20"/>
      <c r="D344" s="20"/>
      <c r="E344" s="20"/>
      <c r="F344" s="20"/>
      <c r="G344" s="24"/>
      <c r="H344" s="24"/>
      <c r="I344" s="24"/>
      <c r="J344" s="24"/>
      <c r="K344" s="24"/>
      <c r="L344" s="24"/>
      <c r="M344" s="24"/>
      <c r="N344" s="24"/>
      <c r="O344" s="24"/>
      <c r="P344" s="24"/>
      <c r="Q344" s="24"/>
      <c r="R344" s="24"/>
      <c r="S344" s="24"/>
      <c r="T344" s="24"/>
      <c r="U344" s="24"/>
      <c r="AI344" s="19"/>
    </row>
    <row r="345" spans="1:35" ht="15" customHeight="1" x14ac:dyDescent="0.35">
      <c r="A345" s="25"/>
      <c r="B345" s="24"/>
      <c r="C345" s="20"/>
      <c r="D345" s="20"/>
      <c r="E345" s="20"/>
      <c r="F345" s="20"/>
      <c r="G345" s="24"/>
      <c r="H345" s="24"/>
      <c r="I345" s="24"/>
      <c r="J345" s="24"/>
      <c r="K345" s="24"/>
      <c r="L345" s="24"/>
      <c r="M345" s="24"/>
      <c r="N345" s="24"/>
      <c r="O345" s="24"/>
      <c r="P345" s="24"/>
      <c r="Q345" s="24"/>
      <c r="R345" s="24"/>
      <c r="S345" s="24"/>
      <c r="T345" s="24"/>
      <c r="U345" s="24"/>
      <c r="AI345" s="19"/>
    </row>
    <row r="346" spans="1:35" ht="24" customHeight="1" thickBot="1" x14ac:dyDescent="0.4">
      <c r="A346" s="23"/>
      <c r="B346" s="20"/>
      <c r="C346" s="20"/>
      <c r="D346" s="20"/>
      <c r="E346" s="20"/>
      <c r="F346" s="20"/>
      <c r="G346" s="21"/>
      <c r="H346" s="22" t="s">
        <v>754</v>
      </c>
      <c r="J346" s="20"/>
      <c r="K346" s="21"/>
      <c r="L346" s="21"/>
      <c r="Q346" s="20" t="s">
        <v>753</v>
      </c>
      <c r="R346" s="20"/>
      <c r="S346" s="20"/>
      <c r="T346" s="20"/>
      <c r="AA346" s="20" t="s">
        <v>752</v>
      </c>
      <c r="AB346" s="20"/>
      <c r="AI346" s="19"/>
    </row>
    <row r="347" spans="1:35" ht="24" customHeight="1" thickBot="1" x14ac:dyDescent="0.4">
      <c r="A347" s="18" t="s">
        <v>751</v>
      </c>
      <c r="B347" s="17"/>
      <c r="C347" s="196" t="s">
        <v>753</v>
      </c>
      <c r="D347" s="73"/>
      <c r="E347" s="73"/>
      <c r="F347" s="73"/>
      <c r="G347" s="945" t="str">
        <f>Parametros!D6</f>
        <v>JAVIER VELIZ NAPA</v>
      </c>
      <c r="H347" s="945"/>
      <c r="I347" s="945"/>
      <c r="J347" s="945"/>
      <c r="K347" s="945"/>
      <c r="L347" s="945"/>
      <c r="M347" s="945"/>
      <c r="N347" s="945"/>
      <c r="O347" s="945"/>
      <c r="P347" s="945"/>
      <c r="Q347" s="73"/>
      <c r="R347" s="73"/>
      <c r="S347" s="73"/>
      <c r="T347" s="73"/>
      <c r="U347" s="18" t="s">
        <v>751</v>
      </c>
      <c r="V347" s="17"/>
      <c r="W347" s="196" t="s">
        <v>753</v>
      </c>
      <c r="X347" s="945" t="str">
        <f>Parametros!D8</f>
        <v>LOURDES GOMEZ SOLIS</v>
      </c>
      <c r="Y347" s="945"/>
      <c r="Z347" s="945"/>
      <c r="AA347" s="945"/>
      <c r="AB347" s="945"/>
      <c r="AC347" s="945"/>
      <c r="AD347" s="945"/>
      <c r="AE347" s="945"/>
      <c r="AF347" s="945"/>
      <c r="AG347" s="73"/>
      <c r="AH347" s="73"/>
      <c r="AI347" s="195"/>
    </row>
    <row r="348" spans="1:35" ht="24" customHeight="1" thickBot="1" x14ac:dyDescent="0.4">
      <c r="A348" s="8">
        <v>198</v>
      </c>
      <c r="B348" s="7" t="s">
        <v>750</v>
      </c>
      <c r="C348" s="13"/>
      <c r="D348" s="13"/>
      <c r="E348" s="11"/>
      <c r="F348" s="12"/>
      <c r="G348" s="11"/>
      <c r="H348" s="5"/>
      <c r="I348" s="993" t="str">
        <f>Parametros!D7</f>
        <v>1234567890001</v>
      </c>
      <c r="J348" s="993"/>
      <c r="K348" s="993"/>
      <c r="L348" s="993"/>
      <c r="M348" s="993"/>
      <c r="N348" s="993"/>
      <c r="O348" s="993"/>
      <c r="P348" s="194"/>
      <c r="Q348" s="5" t="s">
        <v>753</v>
      </c>
      <c r="R348" s="5"/>
      <c r="S348" s="5"/>
      <c r="T348" s="13"/>
      <c r="U348" s="8">
        <v>199</v>
      </c>
      <c r="V348" s="7" t="s">
        <v>749</v>
      </c>
      <c r="W348" s="5"/>
      <c r="X348" s="993" t="str">
        <f>Parametros!D9</f>
        <v>1234567890001</v>
      </c>
      <c r="Y348" s="993"/>
      <c r="Z348" s="993"/>
      <c r="AA348" s="993"/>
      <c r="AB348" s="993"/>
      <c r="AC348" s="993"/>
      <c r="AD348" s="993"/>
      <c r="AE348" s="993"/>
      <c r="AF348" s="993"/>
      <c r="AG348" s="5"/>
      <c r="AH348" s="5"/>
      <c r="AI348" s="4"/>
    </row>
    <row r="349" spans="1:35" ht="24" customHeight="1" x14ac:dyDescent="0.35">
      <c r="A349" s="24"/>
      <c r="B349" s="24"/>
      <c r="C349" s="20"/>
      <c r="D349" s="20"/>
      <c r="E349" s="20"/>
      <c r="F349" s="20"/>
      <c r="G349" s="24"/>
      <c r="H349" s="24"/>
      <c r="I349" s="24"/>
      <c r="J349" s="24"/>
      <c r="K349" s="24"/>
      <c r="L349" s="24"/>
      <c r="M349" s="24"/>
      <c r="N349" s="24"/>
      <c r="O349" s="24"/>
      <c r="P349" s="24"/>
      <c r="Q349" s="24"/>
      <c r="R349" s="24"/>
      <c r="S349" s="24"/>
      <c r="T349" s="24"/>
      <c r="U349" s="3"/>
    </row>
    <row r="350" spans="1:35" ht="24" customHeight="1" x14ac:dyDescent="0.35">
      <c r="A350" s="24"/>
      <c r="B350" s="24"/>
      <c r="C350" s="20"/>
      <c r="D350" s="20"/>
      <c r="E350" s="20"/>
      <c r="F350" s="20"/>
      <c r="G350" s="24"/>
      <c r="H350" s="24"/>
      <c r="I350" s="24"/>
      <c r="J350" s="24"/>
      <c r="K350" s="24"/>
      <c r="L350" s="24"/>
      <c r="M350" s="24"/>
      <c r="N350" s="24"/>
      <c r="O350" s="24"/>
      <c r="P350" s="24"/>
      <c r="Q350" s="24"/>
      <c r="R350" s="24"/>
      <c r="S350" s="24"/>
      <c r="T350" s="24"/>
      <c r="U350" s="3"/>
    </row>
    <row r="351" spans="1:35" ht="24" customHeight="1" x14ac:dyDescent="0.35">
      <c r="A351" s="24"/>
      <c r="B351" s="24"/>
      <c r="C351" s="20"/>
      <c r="D351" s="20"/>
      <c r="E351" s="20"/>
      <c r="F351" s="20"/>
      <c r="G351" s="24"/>
      <c r="H351" s="24"/>
      <c r="I351" s="24"/>
      <c r="J351" s="24"/>
      <c r="K351" s="24"/>
      <c r="L351" s="24"/>
      <c r="M351" s="24"/>
      <c r="N351" s="24"/>
      <c r="O351" s="24"/>
      <c r="P351" s="24"/>
      <c r="Q351" s="24"/>
      <c r="R351" s="24"/>
      <c r="S351" s="24"/>
      <c r="T351" s="24"/>
      <c r="U351" s="3"/>
    </row>
    <row r="352" spans="1:35" ht="24" customHeight="1" x14ac:dyDescent="0.35">
      <c r="A352" s="24"/>
      <c r="B352" s="24"/>
      <c r="C352" s="20"/>
      <c r="D352" s="20"/>
      <c r="E352" s="20"/>
      <c r="F352" s="20"/>
      <c r="G352" s="24"/>
      <c r="H352" s="24"/>
      <c r="I352" s="24"/>
      <c r="J352" s="24"/>
      <c r="K352" s="24"/>
      <c r="L352" s="24"/>
      <c r="M352" s="24"/>
      <c r="N352" s="24"/>
      <c r="O352" s="24"/>
      <c r="P352" s="24"/>
      <c r="Q352" s="24"/>
      <c r="R352" s="24"/>
      <c r="S352" s="24"/>
      <c r="T352" s="24"/>
      <c r="U352" s="3"/>
    </row>
    <row r="353" spans="1:21" ht="24" customHeight="1" x14ac:dyDescent="0.35">
      <c r="A353" s="24"/>
      <c r="B353" s="24"/>
      <c r="C353" s="20"/>
      <c r="D353" s="20"/>
      <c r="E353" s="20"/>
      <c r="F353" s="20"/>
      <c r="G353" s="24"/>
      <c r="H353" s="24"/>
      <c r="I353" s="24"/>
      <c r="J353" s="24"/>
      <c r="K353" s="24"/>
      <c r="L353" s="24"/>
      <c r="M353" s="24"/>
      <c r="N353" s="24"/>
      <c r="O353" s="24"/>
      <c r="P353" s="24"/>
      <c r="Q353" s="24"/>
      <c r="R353" s="24"/>
      <c r="S353" s="24"/>
      <c r="T353" s="24"/>
      <c r="U353" s="3"/>
    </row>
  </sheetData>
  <mergeCells count="689">
    <mergeCell ref="AC142:AI142"/>
    <mergeCell ref="AC143:AI143"/>
    <mergeCell ref="X320:AA320"/>
    <mergeCell ref="AE320:AH320"/>
    <mergeCell ref="A141:C145"/>
    <mergeCell ref="X141:AA141"/>
    <mergeCell ref="X145:AA145"/>
    <mergeCell ref="AE145:AH145"/>
    <mergeCell ref="X142:AA142"/>
    <mergeCell ref="X143:AA143"/>
    <mergeCell ref="X144:AA144"/>
    <mergeCell ref="AE144:AH144"/>
    <mergeCell ref="AC141:AI141"/>
    <mergeCell ref="X222:AA222"/>
    <mergeCell ref="AE222:AH222"/>
    <mergeCell ref="X223:AA223"/>
    <mergeCell ref="AE223:AH223"/>
    <mergeCell ref="X224:AA224"/>
    <mergeCell ref="AE224:AH224"/>
    <mergeCell ref="AE187:AH187"/>
    <mergeCell ref="X188:AA188"/>
    <mergeCell ref="AE188:AH188"/>
    <mergeCell ref="X181:AA181"/>
    <mergeCell ref="AE181:AH181"/>
    <mergeCell ref="A128:C137"/>
    <mergeCell ref="A120:C126"/>
    <mergeCell ref="A114:C115"/>
    <mergeCell ref="A98:C106"/>
    <mergeCell ref="A71:C72"/>
    <mergeCell ref="A19:C33"/>
    <mergeCell ref="AC97:AI97"/>
    <mergeCell ref="A109:AI109"/>
    <mergeCell ref="A111:AI111"/>
    <mergeCell ref="A113:AI113"/>
    <mergeCell ref="X116:AA116"/>
    <mergeCell ref="AE116:AH116"/>
    <mergeCell ref="X117:AA117"/>
    <mergeCell ref="AE117:AH117"/>
    <mergeCell ref="A73:AI73"/>
    <mergeCell ref="X91:AA91"/>
    <mergeCell ref="AC91:AI91"/>
    <mergeCell ref="X92:AA92"/>
    <mergeCell ref="AC92:AI92"/>
    <mergeCell ref="X93:AA93"/>
    <mergeCell ref="AC93:AI93"/>
    <mergeCell ref="X94:AA94"/>
    <mergeCell ref="AC94:AI94"/>
    <mergeCell ref="O135:P135"/>
    <mergeCell ref="X214:AA214"/>
    <mergeCell ref="AE214:AH214"/>
    <mergeCell ref="X200:AA200"/>
    <mergeCell ref="AE200:AH200"/>
    <mergeCell ref="X201:AA201"/>
    <mergeCell ref="AE201:AH201"/>
    <mergeCell ref="X196:AA196"/>
    <mergeCell ref="AE196:AH196"/>
    <mergeCell ref="X199:AA199"/>
    <mergeCell ref="X203:AA203"/>
    <mergeCell ref="X205:AA205"/>
    <mergeCell ref="X209:AA209"/>
    <mergeCell ref="AE209:AH209"/>
    <mergeCell ref="X210:AA210"/>
    <mergeCell ref="AE210:AH210"/>
    <mergeCell ref="X211:AA211"/>
    <mergeCell ref="X202:AA202"/>
    <mergeCell ref="AE202:AH202"/>
    <mergeCell ref="AE198:AH198"/>
    <mergeCell ref="X173:AA173"/>
    <mergeCell ref="X175:AA175"/>
    <mergeCell ref="AE175:AH175"/>
    <mergeCell ref="X182:AA182"/>
    <mergeCell ref="AE182:AH182"/>
    <mergeCell ref="X183:AA183"/>
    <mergeCell ref="AE183:AH183"/>
    <mergeCell ref="X198:AA198"/>
    <mergeCell ref="AE199:AH199"/>
    <mergeCell ref="AE193:AH193"/>
    <mergeCell ref="X184:AA184"/>
    <mergeCell ref="AE184:AH184"/>
    <mergeCell ref="AE185:AH185"/>
    <mergeCell ref="X189:AA189"/>
    <mergeCell ref="AE189:AH189"/>
    <mergeCell ref="AE180:AH180"/>
    <mergeCell ref="AE173:AH173"/>
    <mergeCell ref="X174:AA174"/>
    <mergeCell ref="AE154:AH154"/>
    <mergeCell ref="X157:AA157"/>
    <mergeCell ref="AE157:AH157"/>
    <mergeCell ref="X160:AA160"/>
    <mergeCell ref="AC160:AI160"/>
    <mergeCell ref="AC159:AI159"/>
    <mergeCell ref="AE162:AH162"/>
    <mergeCell ref="AE178:AH178"/>
    <mergeCell ref="X165:AA165"/>
    <mergeCell ref="X166:AA166"/>
    <mergeCell ref="AE165:AH165"/>
    <mergeCell ref="AE166:AH166"/>
    <mergeCell ref="X167:AA167"/>
    <mergeCell ref="AE167:AH167"/>
    <mergeCell ref="X168:AA168"/>
    <mergeCell ref="AE168:AH168"/>
    <mergeCell ref="X176:AA176"/>
    <mergeCell ref="AE176:AH176"/>
    <mergeCell ref="X169:AA169"/>
    <mergeCell ref="AE169:AH169"/>
    <mergeCell ref="X170:AA170"/>
    <mergeCell ref="AE170:AH170"/>
    <mergeCell ref="AE172:AH172"/>
    <mergeCell ref="X172:AA172"/>
    <mergeCell ref="O128:P128"/>
    <mergeCell ref="S128:U128"/>
    <mergeCell ref="O136:P136"/>
    <mergeCell ref="S132:U132"/>
    <mergeCell ref="S133:U133"/>
    <mergeCell ref="X46:AA46"/>
    <mergeCell ref="X158:AA158"/>
    <mergeCell ref="AE158:AH158"/>
    <mergeCell ref="AE126:AH126"/>
    <mergeCell ref="A148:AI148"/>
    <mergeCell ref="A147:U147"/>
    <mergeCell ref="X118:AA118"/>
    <mergeCell ref="AE118:AH118"/>
    <mergeCell ref="X119:AA119"/>
    <mergeCell ref="AE119:AH119"/>
    <mergeCell ref="AE150:AH150"/>
    <mergeCell ref="X151:AA151"/>
    <mergeCell ref="AE151:AH151"/>
    <mergeCell ref="X155:AA155"/>
    <mergeCell ref="AE155:AH155"/>
    <mergeCell ref="X152:AA152"/>
    <mergeCell ref="AE152:AH152"/>
    <mergeCell ref="X154:AA154"/>
    <mergeCell ref="X153:AA153"/>
    <mergeCell ref="AE153:AH153"/>
    <mergeCell ref="X150:AA150"/>
    <mergeCell ref="AE51:AH51"/>
    <mergeCell ref="X123:AA123"/>
    <mergeCell ref="X124:AA124"/>
    <mergeCell ref="X126:AA126"/>
    <mergeCell ref="AE123:AH123"/>
    <mergeCell ref="AE124:AH124"/>
    <mergeCell ref="AE125:AH125"/>
    <mergeCell ref="X120:AA120"/>
    <mergeCell ref="AE120:AH120"/>
    <mergeCell ref="X146:AA146"/>
    <mergeCell ref="AE146:AH146"/>
    <mergeCell ref="X112:AA112"/>
    <mergeCell ref="AE112:AH112"/>
    <mergeCell ref="X69:AA69"/>
    <mergeCell ref="AE69:AH69"/>
    <mergeCell ref="X95:AA95"/>
    <mergeCell ref="AC95:AI95"/>
    <mergeCell ref="X96:AA96"/>
    <mergeCell ref="AC96:AI96"/>
    <mergeCell ref="X97:AA97"/>
    <mergeCell ref="A127:AI127"/>
    <mergeCell ref="O132:P132"/>
    <mergeCell ref="O133:P133"/>
    <mergeCell ref="O130:P130"/>
    <mergeCell ref="S130:U130"/>
    <mergeCell ref="X130:AA130"/>
    <mergeCell ref="AE130:AH130"/>
    <mergeCell ref="X131:AA131"/>
    <mergeCell ref="AE131:AH131"/>
    <mergeCell ref="O134:P134"/>
    <mergeCell ref="S134:U134"/>
    <mergeCell ref="AE114:AH114"/>
    <mergeCell ref="X134:AA134"/>
    <mergeCell ref="AE134:AH134"/>
    <mergeCell ref="AE132:AH132"/>
    <mergeCell ref="AE133:AH133"/>
    <mergeCell ref="X132:AA132"/>
    <mergeCell ref="X110:AA110"/>
    <mergeCell ref="AE110:AH110"/>
    <mergeCell ref="X133:AA133"/>
    <mergeCell ref="AE115:AH115"/>
    <mergeCell ref="AE122:AH122"/>
    <mergeCell ref="X128:AA128"/>
    <mergeCell ref="AE128:AH128"/>
    <mergeCell ref="X114:AA114"/>
    <mergeCell ref="X125:AA125"/>
    <mergeCell ref="X140:AA140"/>
    <mergeCell ref="AE37:AH37"/>
    <mergeCell ref="X44:AA44"/>
    <mergeCell ref="X67:AA67"/>
    <mergeCell ref="X64:AA64"/>
    <mergeCell ref="X39:AA39"/>
    <mergeCell ref="AE39:AH39"/>
    <mergeCell ref="X129:AA129"/>
    <mergeCell ref="AE129:AH129"/>
    <mergeCell ref="X75:AA75"/>
    <mergeCell ref="AE75:AH75"/>
    <mergeCell ref="AC106:AI106"/>
    <mergeCell ref="AE78:AH78"/>
    <mergeCell ref="X68:AA68"/>
    <mergeCell ref="AE38:AH38"/>
    <mergeCell ref="X76:AA76"/>
    <mergeCell ref="AE138:AH138"/>
    <mergeCell ref="X139:AA139"/>
    <mergeCell ref="AE139:AH139"/>
    <mergeCell ref="A63:AI63"/>
    <mergeCell ref="X70:AA70"/>
    <mergeCell ref="AE64:AH64"/>
    <mergeCell ref="AD1:AE2"/>
    <mergeCell ref="I1:AC2"/>
    <mergeCell ref="AE140:AH140"/>
    <mergeCell ref="AE105:AH105"/>
    <mergeCell ref="X106:AA106"/>
    <mergeCell ref="X104:AA104"/>
    <mergeCell ref="AE104:AH104"/>
    <mergeCell ref="X55:AA55"/>
    <mergeCell ref="X60:AA60"/>
    <mergeCell ref="X58:AA58"/>
    <mergeCell ref="X56:AA56"/>
    <mergeCell ref="X57:AA57"/>
    <mergeCell ref="A14:AI14"/>
    <mergeCell ref="AC16:AI16"/>
    <mergeCell ref="U7:U8"/>
    <mergeCell ref="R7:R8"/>
    <mergeCell ref="V16:AB16"/>
    <mergeCell ref="J7:J8"/>
    <mergeCell ref="A15:AI15"/>
    <mergeCell ref="X50:AA50"/>
    <mergeCell ref="AE50:AH50"/>
    <mergeCell ref="X48:AA48"/>
    <mergeCell ref="X49:AA49"/>
    <mergeCell ref="AE49:AH49"/>
    <mergeCell ref="X20:AA20"/>
    <mergeCell ref="AE20:AH20"/>
    <mergeCell ref="AE22:AH22"/>
    <mergeCell ref="X22:AA22"/>
    <mergeCell ref="E7:E8"/>
    <mergeCell ref="S7:S8"/>
    <mergeCell ref="T7:T8"/>
    <mergeCell ref="Q7:Q8"/>
    <mergeCell ref="P12:AH12"/>
    <mergeCell ref="K7:K8"/>
    <mergeCell ref="I7:I8"/>
    <mergeCell ref="L7:L8"/>
    <mergeCell ref="M7:M8"/>
    <mergeCell ref="N7:N8"/>
    <mergeCell ref="B12:N12"/>
    <mergeCell ref="X29:AA29"/>
    <mergeCell ref="AE24:AH24"/>
    <mergeCell ref="X40:AA40"/>
    <mergeCell ref="AE40:AH40"/>
    <mergeCell ref="A7:A8"/>
    <mergeCell ref="A11:A12"/>
    <mergeCell ref="V7:V8"/>
    <mergeCell ref="B7:B8"/>
    <mergeCell ref="Y8:AG8"/>
    <mergeCell ref="X33:AA33"/>
    <mergeCell ref="AE36:AH36"/>
    <mergeCell ref="X36:AA36"/>
    <mergeCell ref="X19:AA19"/>
    <mergeCell ref="X25:AA25"/>
    <mergeCell ref="X26:AA26"/>
    <mergeCell ref="AE18:AH18"/>
    <mergeCell ref="X32:AA32"/>
    <mergeCell ref="X34:AA34"/>
    <mergeCell ref="G7:G8"/>
    <mergeCell ref="C7:C8"/>
    <mergeCell ref="F7:F8"/>
    <mergeCell ref="H7:H8"/>
    <mergeCell ref="D7:D8"/>
    <mergeCell ref="X18:AA18"/>
    <mergeCell ref="X24:AA24"/>
    <mergeCell ref="AE19:AH19"/>
    <mergeCell ref="AE32:AH32"/>
    <mergeCell ref="AE26:AH26"/>
    <mergeCell ref="AE27:AH27"/>
    <mergeCell ref="AE28:AH28"/>
    <mergeCell ref="I348:O348"/>
    <mergeCell ref="M339:R339"/>
    <mergeCell ref="AB338:AI338"/>
    <mergeCell ref="X348:AF348"/>
    <mergeCell ref="X122:AA122"/>
    <mergeCell ref="A326:AI326"/>
    <mergeCell ref="AE325:AH325"/>
    <mergeCell ref="AC54:AI54"/>
    <mergeCell ref="AC55:AI55"/>
    <mergeCell ref="AC56:AI56"/>
    <mergeCell ref="AC61:AI61"/>
    <mergeCell ref="AE121:AH121"/>
    <mergeCell ref="X54:AA54"/>
    <mergeCell ref="AC62:AI62"/>
    <mergeCell ref="AC261:AI261"/>
    <mergeCell ref="X261:AA261"/>
    <mergeCell ref="X102:AA102"/>
    <mergeCell ref="AE102:AH102"/>
    <mergeCell ref="A327:F327"/>
    <mergeCell ref="AE327:AH327"/>
    <mergeCell ref="G347:P347"/>
    <mergeCell ref="D340:I340"/>
    <mergeCell ref="AE337:AH337"/>
    <mergeCell ref="AD340:AI340"/>
    <mergeCell ref="X347:AF347"/>
    <mergeCell ref="V339:AA339"/>
    <mergeCell ref="AE335:AH335"/>
    <mergeCell ref="AE332:AH332"/>
    <mergeCell ref="AE329:AH329"/>
    <mergeCell ref="AE336:AH336"/>
    <mergeCell ref="D339:I339"/>
    <mergeCell ref="AE333:AH333"/>
    <mergeCell ref="V340:AA340"/>
    <mergeCell ref="A341:AI341"/>
    <mergeCell ref="Y327:AB327"/>
    <mergeCell ref="AB339:AI339"/>
    <mergeCell ref="M340:R340"/>
    <mergeCell ref="AE334:AH334"/>
    <mergeCell ref="A338:AA338"/>
    <mergeCell ref="U327:W327"/>
    <mergeCell ref="I327:K327"/>
    <mergeCell ref="M327:R327"/>
    <mergeCell ref="X100:AA100"/>
    <mergeCell ref="AE85:AH85"/>
    <mergeCell ref="X103:AA103"/>
    <mergeCell ref="AE103:AH103"/>
    <mergeCell ref="X105:AA105"/>
    <mergeCell ref="AE100:AH100"/>
    <mergeCell ref="AE99:AH99"/>
    <mergeCell ref="X101:AA101"/>
    <mergeCell ref="AE101:AH101"/>
    <mergeCell ref="X85:AA85"/>
    <mergeCell ref="X88:AA88"/>
    <mergeCell ref="X87:AA87"/>
    <mergeCell ref="X230:AA230"/>
    <mergeCell ref="X215:AA215"/>
    <mergeCell ref="AE215:AH215"/>
    <mergeCell ref="AE226:AH226"/>
    <mergeCell ref="X227:AA227"/>
    <mergeCell ref="AE227:AH227"/>
    <mergeCell ref="X259:AA259"/>
    <mergeCell ref="AE259:AH259"/>
    <mergeCell ref="AE219:AH219"/>
    <mergeCell ref="X256:AA256"/>
    <mergeCell ref="AE256:AH256"/>
    <mergeCell ref="X218:AA218"/>
    <mergeCell ref="AE218:AH218"/>
    <mergeCell ref="X216:AA216"/>
    <mergeCell ref="X217:AA217"/>
    <mergeCell ref="AE233:AH233"/>
    <mergeCell ref="X234:AA234"/>
    <mergeCell ref="AE234:AH234"/>
    <mergeCell ref="X235:AA235"/>
    <mergeCell ref="AE235:AH235"/>
    <mergeCell ref="AE247:AH247"/>
    <mergeCell ref="AE254:AH254"/>
    <mergeCell ref="X250:AA250"/>
    <mergeCell ref="AE250:AH250"/>
    <mergeCell ref="AE269:AH269"/>
    <mergeCell ref="X277:AA277"/>
    <mergeCell ref="AE277:AH277"/>
    <mergeCell ref="AE263:AH263"/>
    <mergeCell ref="X271:AA271"/>
    <mergeCell ref="X270:AA270"/>
    <mergeCell ref="AE270:AH270"/>
    <mergeCell ref="X264:AA264"/>
    <mergeCell ref="AE264:AH264"/>
    <mergeCell ref="X272:AA272"/>
    <mergeCell ref="AE272:AH272"/>
    <mergeCell ref="A149:C205"/>
    <mergeCell ref="X149:AA149"/>
    <mergeCell ref="AE149:AH149"/>
    <mergeCell ref="X156:AA156"/>
    <mergeCell ref="AE156:AH156"/>
    <mergeCell ref="X159:AA159"/>
    <mergeCell ref="AE163:AH163"/>
    <mergeCell ref="X171:AA171"/>
    <mergeCell ref="X204:AA204"/>
    <mergeCell ref="X164:AA164"/>
    <mergeCell ref="AE164:AH164"/>
    <mergeCell ref="AE174:AH174"/>
    <mergeCell ref="X163:AA163"/>
    <mergeCell ref="AE171:AH171"/>
    <mergeCell ref="X161:AA161"/>
    <mergeCell ref="AE161:AH161"/>
    <mergeCell ref="X177:AA177"/>
    <mergeCell ref="AE177:AH177"/>
    <mergeCell ref="X178:AA178"/>
    <mergeCell ref="X185:AA185"/>
    <mergeCell ref="X180:AA180"/>
    <mergeCell ref="X186:AA186"/>
    <mergeCell ref="AE186:AH186"/>
    <mergeCell ref="X187:AA187"/>
    <mergeCell ref="AE323:AH323"/>
    <mergeCell ref="X321:AA321"/>
    <mergeCell ref="AE321:AH321"/>
    <mergeCell ref="X263:AA263"/>
    <mergeCell ref="X278:AA278"/>
    <mergeCell ref="AE278:AH278"/>
    <mergeCell ref="X279:AA279"/>
    <mergeCell ref="AE279:AH279"/>
    <mergeCell ref="X274:AA274"/>
    <mergeCell ref="AE274:AH274"/>
    <mergeCell ref="X275:AA275"/>
    <mergeCell ref="X276:AA276"/>
    <mergeCell ref="AE276:AH276"/>
    <mergeCell ref="AE275:AH275"/>
    <mergeCell ref="X269:AA269"/>
    <mergeCell ref="X267:AA267"/>
    <mergeCell ref="AE267:AH267"/>
    <mergeCell ref="X319:AA319"/>
    <mergeCell ref="AC318:AI318"/>
    <mergeCell ref="X301:AA301"/>
    <mergeCell ref="AE301:AH301"/>
    <mergeCell ref="X300:AA300"/>
    <mergeCell ref="AE300:AH300"/>
    <mergeCell ref="X289:AA289"/>
    <mergeCell ref="X260:AA260"/>
    <mergeCell ref="X258:AA258"/>
    <mergeCell ref="AE258:AH258"/>
    <mergeCell ref="AE237:AH237"/>
    <mergeCell ref="X238:AA238"/>
    <mergeCell ref="X243:AA243"/>
    <mergeCell ref="AE243:AH243"/>
    <mergeCell ref="AE257:AH257"/>
    <mergeCell ref="X252:AA252"/>
    <mergeCell ref="AE252:AH252"/>
    <mergeCell ref="X253:AA253"/>
    <mergeCell ref="X248:AA248"/>
    <mergeCell ref="AE248:AH248"/>
    <mergeCell ref="X249:AA249"/>
    <mergeCell ref="AE249:AH249"/>
    <mergeCell ref="AE251:AH251"/>
    <mergeCell ref="AE241:AH241"/>
    <mergeCell ref="X246:AA246"/>
    <mergeCell ref="AE246:AH246"/>
    <mergeCell ref="X242:AA242"/>
    <mergeCell ref="X255:AA255"/>
    <mergeCell ref="AE242:AH242"/>
    <mergeCell ref="X254:AA254"/>
    <mergeCell ref="X247:AA247"/>
    <mergeCell ref="X251:AA251"/>
    <mergeCell ref="X244:AA244"/>
    <mergeCell ref="AE244:AH244"/>
    <mergeCell ref="X245:AA245"/>
    <mergeCell ref="AE245:AH245"/>
    <mergeCell ref="X236:AA236"/>
    <mergeCell ref="AE236:AH236"/>
    <mergeCell ref="A263:C319"/>
    <mergeCell ref="X304:AA304"/>
    <mergeCell ref="AE304:AH304"/>
    <mergeCell ref="X305:AA305"/>
    <mergeCell ref="AE305:AH305"/>
    <mergeCell ref="X306:AA306"/>
    <mergeCell ref="AE306:AH306"/>
    <mergeCell ref="X307:AA307"/>
    <mergeCell ref="X310:AA310"/>
    <mergeCell ref="AE310:AH310"/>
    <mergeCell ref="X311:AA311"/>
    <mergeCell ref="AE311:AH311"/>
    <mergeCell ref="X308:AA308"/>
    <mergeCell ref="AE308:AH308"/>
    <mergeCell ref="X309:AA309"/>
    <mergeCell ref="AE309:AH309"/>
    <mergeCell ref="X302:AA302"/>
    <mergeCell ref="AE289:AH289"/>
    <mergeCell ref="X290:AA290"/>
    <mergeCell ref="AE290:AH290"/>
    <mergeCell ref="X291:AA291"/>
    <mergeCell ref="AE291:AH291"/>
    <mergeCell ref="X292:AA292"/>
    <mergeCell ref="AE292:AH292"/>
    <mergeCell ref="X297:AA297"/>
    <mergeCell ref="AE297:AH297"/>
    <mergeCell ref="X293:AA293"/>
    <mergeCell ref="AE293:AH293"/>
    <mergeCell ref="X317:AA317"/>
    <mergeCell ref="AE317:AH317"/>
    <mergeCell ref="X313:AA313"/>
    <mergeCell ref="AE313:AH313"/>
    <mergeCell ref="X314:AA314"/>
    <mergeCell ref="AE315:AH315"/>
    <mergeCell ref="X295:AA295"/>
    <mergeCell ref="AE295:AH295"/>
    <mergeCell ref="X294:AA294"/>
    <mergeCell ref="AE294:AH294"/>
    <mergeCell ref="X296:AA296"/>
    <mergeCell ref="X312:AA312"/>
    <mergeCell ref="AE312:AH312"/>
    <mergeCell ref="AE302:AH302"/>
    <mergeCell ref="X303:AA303"/>
    <mergeCell ref="AE303:AH303"/>
    <mergeCell ref="X298:AA298"/>
    <mergeCell ref="AE298:AH298"/>
    <mergeCell ref="X299:AA299"/>
    <mergeCell ref="AE299:AH299"/>
    <mergeCell ref="X285:AA285"/>
    <mergeCell ref="AE285:AH285"/>
    <mergeCell ref="X286:AA286"/>
    <mergeCell ref="AE286:AH286"/>
    <mergeCell ref="X287:AA287"/>
    <mergeCell ref="AE287:AH287"/>
    <mergeCell ref="X288:AA288"/>
    <mergeCell ref="AE288:AH288"/>
    <mergeCell ref="AE240:AH240"/>
    <mergeCell ref="X241:AA241"/>
    <mergeCell ref="X280:AA280"/>
    <mergeCell ref="AE280:AH280"/>
    <mergeCell ref="X282:AA282"/>
    <mergeCell ref="AE282:AH282"/>
    <mergeCell ref="X283:AA283"/>
    <mergeCell ref="AE283:AH283"/>
    <mergeCell ref="X284:AA284"/>
    <mergeCell ref="AE284:AH284"/>
    <mergeCell ref="X281:AA281"/>
    <mergeCell ref="AE281:AH281"/>
    <mergeCell ref="X273:AA273"/>
    <mergeCell ref="AE273:AH273"/>
    <mergeCell ref="AC262:AI262"/>
    <mergeCell ref="X262:AA262"/>
    <mergeCell ref="A206:C262"/>
    <mergeCell ref="X206:AA206"/>
    <mergeCell ref="AE206:AH206"/>
    <mergeCell ref="X213:AA213"/>
    <mergeCell ref="AE213:AH213"/>
    <mergeCell ref="X221:AA221"/>
    <mergeCell ref="X228:AA228"/>
    <mergeCell ref="AE228:AH228"/>
    <mergeCell ref="X229:AA229"/>
    <mergeCell ref="AE229:AH229"/>
    <mergeCell ref="X232:AA232"/>
    <mergeCell ref="AE232:AH232"/>
    <mergeCell ref="AE230:AH230"/>
    <mergeCell ref="X231:AA231"/>
    <mergeCell ref="X233:AA233"/>
    <mergeCell ref="X237:AA237"/>
    <mergeCell ref="X257:AA257"/>
    <mergeCell ref="AE253:AH253"/>
    <mergeCell ref="AE238:AH238"/>
    <mergeCell ref="X239:AA239"/>
    <mergeCell ref="AE239:AH239"/>
    <mergeCell ref="X240:AA240"/>
    <mergeCell ref="AE255:AH255"/>
    <mergeCell ref="X212:AA212"/>
    <mergeCell ref="AC319:AI319"/>
    <mergeCell ref="X316:AA316"/>
    <mergeCell ref="X318:AA318"/>
    <mergeCell ref="AE314:AH314"/>
    <mergeCell ref="X315:AA315"/>
    <mergeCell ref="AC204:AI204"/>
    <mergeCell ref="AC205:AI205"/>
    <mergeCell ref="AE316:AH316"/>
    <mergeCell ref="AE307:AH307"/>
    <mergeCell ref="AE296:AH296"/>
    <mergeCell ref="AE260:AH260"/>
    <mergeCell ref="AE231:AH231"/>
    <mergeCell ref="AE271:AH271"/>
    <mergeCell ref="AE221:AH221"/>
    <mergeCell ref="X268:AA268"/>
    <mergeCell ref="AE268:AH268"/>
    <mergeCell ref="AC216:AI216"/>
    <mergeCell ref="AC217:AI217"/>
    <mergeCell ref="X265:AA265"/>
    <mergeCell ref="AE265:AH265"/>
    <mergeCell ref="X266:AA266"/>
    <mergeCell ref="AE266:AH266"/>
    <mergeCell ref="AE225:AH225"/>
    <mergeCell ref="X226:AA226"/>
    <mergeCell ref="AE147:AH147"/>
    <mergeCell ref="X115:AA115"/>
    <mergeCell ref="X135:AA135"/>
    <mergeCell ref="X147:AA147"/>
    <mergeCell ref="AE45:AH45"/>
    <mergeCell ref="AE47:AH47"/>
    <mergeCell ref="X51:AA51"/>
    <mergeCell ref="X52:AA52"/>
    <mergeCell ref="AE52:AH52"/>
    <mergeCell ref="X45:AA45"/>
    <mergeCell ref="X137:AA137"/>
    <mergeCell ref="AE137:AH137"/>
    <mergeCell ref="AE135:AH135"/>
    <mergeCell ref="X47:AA47"/>
    <mergeCell ref="X136:AA136"/>
    <mergeCell ref="AE136:AH136"/>
    <mergeCell ref="X99:AA99"/>
    <mergeCell ref="AE46:AH46"/>
    <mergeCell ref="AE48:AH48"/>
    <mergeCell ref="X121:AA121"/>
    <mergeCell ref="X72:AA72"/>
    <mergeCell ref="X78:AA78"/>
    <mergeCell ref="AE84:AH84"/>
    <mergeCell ref="AE74:AH74"/>
    <mergeCell ref="X225:AA225"/>
    <mergeCell ref="X190:AA190"/>
    <mergeCell ref="AE190:AH190"/>
    <mergeCell ref="X191:AA191"/>
    <mergeCell ref="AE191:AH191"/>
    <mergeCell ref="X192:AA192"/>
    <mergeCell ref="AE192:AH192"/>
    <mergeCell ref="X193:AA193"/>
    <mergeCell ref="X207:AA207"/>
    <mergeCell ref="AE207:AH207"/>
    <mergeCell ref="X208:AA208"/>
    <mergeCell ref="AE208:AH208"/>
    <mergeCell ref="AE212:AH212"/>
    <mergeCell ref="X220:AA220"/>
    <mergeCell ref="AE220:AH220"/>
    <mergeCell ref="AE197:AH197"/>
    <mergeCell ref="X194:AA194"/>
    <mergeCell ref="AE194:AH194"/>
    <mergeCell ref="X195:AA195"/>
    <mergeCell ref="AE195:AH195"/>
    <mergeCell ref="X219:AA219"/>
    <mergeCell ref="X197:AA197"/>
    <mergeCell ref="AE203:AH203"/>
    <mergeCell ref="AE211:AH211"/>
    <mergeCell ref="X37:AA37"/>
    <mergeCell ref="AE70:AH70"/>
    <mergeCell ref="AE81:AH81"/>
    <mergeCell ref="X83:AA83"/>
    <mergeCell ref="AE71:AH71"/>
    <mergeCell ref="AE88:AH88"/>
    <mergeCell ref="X71:AA71"/>
    <mergeCell ref="S135:U135"/>
    <mergeCell ref="S136:U136"/>
    <mergeCell ref="X108:AA108"/>
    <mergeCell ref="AE108:AH108"/>
    <mergeCell ref="X62:AA62"/>
    <mergeCell ref="X61:AA61"/>
    <mergeCell ref="X59:AA59"/>
    <mergeCell ref="AC57:AI57"/>
    <mergeCell ref="AC58:AI58"/>
    <mergeCell ref="AC59:AI59"/>
    <mergeCell ref="AC60:AI60"/>
    <mergeCell ref="X107:AA107"/>
    <mergeCell ref="AE107:AH107"/>
    <mergeCell ref="X86:AA86"/>
    <mergeCell ref="AE86:AH86"/>
    <mergeCell ref="X89:AA89"/>
    <mergeCell ref="AE89:AH89"/>
    <mergeCell ref="X53:AA53"/>
    <mergeCell ref="AE76:AH76"/>
    <mergeCell ref="X77:AA77"/>
    <mergeCell ref="X74:AA74"/>
    <mergeCell ref="X84:AA84"/>
    <mergeCell ref="AE44:AH44"/>
    <mergeCell ref="AE66:AH66"/>
    <mergeCell ref="AE67:AH67"/>
    <mergeCell ref="AE68:AH68"/>
    <mergeCell ref="X138:AA138"/>
    <mergeCell ref="X90:AA90"/>
    <mergeCell ref="Q5:T5"/>
    <mergeCell ref="U5:V5"/>
    <mergeCell ref="X179:AA179"/>
    <mergeCell ref="AE179:AH179"/>
    <mergeCell ref="AE82:AH82"/>
    <mergeCell ref="X82:AA82"/>
    <mergeCell ref="AE77:AH77"/>
    <mergeCell ref="AE83:AH83"/>
    <mergeCell ref="AE34:AH34"/>
    <mergeCell ref="X38:AA38"/>
    <mergeCell ref="X66:AA66"/>
    <mergeCell ref="AE29:AH29"/>
    <mergeCell ref="AE33:AH33"/>
    <mergeCell ref="AE30:AH30"/>
    <mergeCell ref="AE23:AH23"/>
    <mergeCell ref="X30:AA30"/>
    <mergeCell ref="X27:AA27"/>
    <mergeCell ref="X28:AA28"/>
    <mergeCell ref="X162:AA162"/>
    <mergeCell ref="X31:AA31"/>
    <mergeCell ref="AE31:AH31"/>
    <mergeCell ref="AE72:AH72"/>
    <mergeCell ref="AE25:AH25"/>
    <mergeCell ref="X23:AA23"/>
    <mergeCell ref="AE90:AH90"/>
    <mergeCell ref="X98:AA98"/>
    <mergeCell ref="AE98:AH98"/>
    <mergeCell ref="A17:AI17"/>
    <mergeCell ref="A35:AI35"/>
    <mergeCell ref="X65:AA65"/>
    <mergeCell ref="AE65:AH65"/>
    <mergeCell ref="X43:AA43"/>
    <mergeCell ref="AE43:AH43"/>
    <mergeCell ref="X21:AA21"/>
    <mergeCell ref="AE21:AH21"/>
    <mergeCell ref="X41:AA41"/>
    <mergeCell ref="AE41:AH41"/>
    <mergeCell ref="X42:AA42"/>
    <mergeCell ref="AE42:AH42"/>
    <mergeCell ref="AC53:AI53"/>
    <mergeCell ref="AE79:AH79"/>
    <mergeCell ref="AE87:AH87"/>
    <mergeCell ref="X79:AA79"/>
    <mergeCell ref="X80:AA80"/>
    <mergeCell ref="AE80:AH80"/>
    <mergeCell ref="X81:AA81"/>
  </mergeCells>
  <conditionalFormatting sqref="C7:N8">
    <cfRule type="expression" dxfId="10" priority="1">
      <formula>C$6</formula>
    </cfRule>
  </conditionalFormatting>
  <dataValidations count="1">
    <dataValidation type="list" allowBlank="1" showInputMessage="1" showErrorMessage="1" sqref="U5:V5" xr:uid="{C1728C6C-AEC7-4ADA-8E34-0BD79AD546A9}">
      <formula1>"1,2,3,4,5,6,7,8,9,10,11,12,I-Semestre,II-Semestre"</formula1>
    </dataValidation>
  </dataValidations>
  <printOptions horizontalCentered="1"/>
  <pageMargins left="0.19685039370078741" right="0.19685039370078741" top="0.19685039370078741" bottom="0.19685039370078741" header="0" footer="0"/>
  <pageSetup paperSize="9" scale="54" fitToHeight="2" orientation="portrait" r:id="rId1"/>
  <headerFooter alignWithMargins="0">
    <oddFooter>&amp;R&amp;"Times New Roman,Normal"Pag. &amp;P de &amp;N&amp;"Arial,Normal"&amp;"Cambria,Negrita"www.srianexos.com</oddFooter>
  </headerFooter>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5">
    <pageSetUpPr fitToPage="1"/>
  </sheetPr>
  <dimension ref="A1:AN128"/>
  <sheetViews>
    <sheetView showGridLines="0" zoomScale="75" zoomScaleNormal="75" workbookViewId="0"/>
  </sheetViews>
  <sheetFormatPr baseColWidth="10" defaultColWidth="4.7265625" defaultRowHeight="22.5" customHeight="1" x14ac:dyDescent="0.35"/>
  <cols>
    <col min="1" max="1" width="5.81640625" style="3" customWidth="1"/>
    <col min="2" max="15" width="5.7265625" style="3" customWidth="1"/>
    <col min="16" max="24" width="5.81640625" style="3" customWidth="1"/>
    <col min="25" max="25" width="10.81640625" style="3" hidden="1" customWidth="1"/>
    <col min="26" max="26" width="5.81640625" style="3" customWidth="1"/>
    <col min="27" max="30" width="5.26953125" style="3" customWidth="1"/>
    <col min="31" max="37" width="5.81640625" style="3" customWidth="1"/>
    <col min="38" max="38" width="1.1796875" style="3" customWidth="1"/>
    <col min="39" max="39" width="5.453125" style="3" customWidth="1"/>
    <col min="40" max="40" width="9.54296875" style="3" bestFit="1" customWidth="1"/>
    <col min="41" max="16384" width="4.7265625" style="3"/>
  </cols>
  <sheetData>
    <row r="1" spans="1:40" s="264" customFormat="1" ht="15.5" x14ac:dyDescent="0.35">
      <c r="A1" s="193"/>
      <c r="B1" s="192"/>
      <c r="C1" s="192" t="s">
        <v>753</v>
      </c>
      <c r="D1" s="191" t="s">
        <v>933</v>
      </c>
      <c r="E1" s="275"/>
      <c r="F1" s="276"/>
      <c r="G1" s="188"/>
      <c r="H1" s="187"/>
      <c r="I1" s="1038" t="s">
        <v>932</v>
      </c>
      <c r="J1" s="1039"/>
      <c r="K1" s="1039"/>
      <c r="L1" s="1039"/>
      <c r="M1" s="1039"/>
      <c r="N1" s="1039"/>
      <c r="O1" s="1039"/>
      <c r="P1" s="1039"/>
      <c r="Q1" s="1039"/>
      <c r="R1" s="1039"/>
      <c r="S1" s="1039"/>
      <c r="T1" s="1039"/>
      <c r="U1" s="1039"/>
      <c r="V1" s="1039"/>
      <c r="W1" s="1039"/>
      <c r="X1" s="1039"/>
      <c r="Y1" s="1039"/>
      <c r="Z1" s="1039"/>
      <c r="AA1" s="1039"/>
      <c r="AB1" s="1039"/>
      <c r="AC1" s="1039"/>
      <c r="AD1" s="1039"/>
      <c r="AE1" s="1040"/>
      <c r="AF1" s="1034" t="s">
        <v>931</v>
      </c>
      <c r="AG1" s="1200"/>
      <c r="AH1" s="277"/>
      <c r="AI1" s="185"/>
      <c r="AJ1" s="185"/>
      <c r="AK1" s="184"/>
    </row>
    <row r="2" spans="1:40" s="264" customFormat="1" ht="13.5" thickBot="1" x14ac:dyDescent="0.4">
      <c r="A2" s="183"/>
      <c r="B2" s="182"/>
      <c r="C2" s="182" t="s">
        <v>753</v>
      </c>
      <c r="D2" s="182" t="s">
        <v>930</v>
      </c>
      <c r="E2" s="181"/>
      <c r="F2" s="181"/>
      <c r="G2" s="181"/>
      <c r="H2" s="180"/>
      <c r="I2" s="1041"/>
      <c r="J2" s="1042"/>
      <c r="K2" s="1042"/>
      <c r="L2" s="1042"/>
      <c r="M2" s="1042"/>
      <c r="N2" s="1042"/>
      <c r="O2" s="1042"/>
      <c r="P2" s="1042"/>
      <c r="Q2" s="1042"/>
      <c r="R2" s="1042"/>
      <c r="S2" s="1042"/>
      <c r="T2" s="1042"/>
      <c r="U2" s="1042"/>
      <c r="V2" s="1042"/>
      <c r="W2" s="1042"/>
      <c r="X2" s="1042"/>
      <c r="Y2" s="1042"/>
      <c r="Z2" s="1042"/>
      <c r="AA2" s="1042"/>
      <c r="AB2" s="1042"/>
      <c r="AC2" s="1042"/>
      <c r="AD2" s="1042"/>
      <c r="AE2" s="1043"/>
      <c r="AF2" s="1201"/>
      <c r="AG2" s="1202"/>
      <c r="AH2" s="278"/>
      <c r="AI2" s="178"/>
      <c r="AJ2" s="178"/>
      <c r="AK2" s="177"/>
    </row>
    <row r="3" spans="1:40" s="168" customFormat="1" ht="15.65" customHeight="1" x14ac:dyDescent="0.35">
      <c r="A3" s="175" t="s">
        <v>929</v>
      </c>
      <c r="B3" s="174"/>
      <c r="C3" s="174"/>
      <c r="D3" s="174"/>
      <c r="E3" s="174"/>
      <c r="F3" s="174"/>
      <c r="G3" s="173"/>
      <c r="H3" s="172"/>
      <c r="I3" s="172"/>
      <c r="J3" s="172"/>
      <c r="K3" s="172"/>
      <c r="M3" s="170"/>
      <c r="N3" s="170"/>
      <c r="O3" s="171"/>
      <c r="P3" s="170"/>
      <c r="R3" s="170"/>
      <c r="S3" s="170"/>
      <c r="T3" s="170"/>
      <c r="U3" s="170"/>
      <c r="V3" s="170"/>
      <c r="W3" s="170"/>
      <c r="X3" s="170"/>
      <c r="Y3" s="170"/>
      <c r="AJ3" s="170"/>
      <c r="AK3" s="169"/>
      <c r="AM3" s="264"/>
    </row>
    <row r="4" spans="1:40" s="168" customFormat="1" ht="17.149999999999999" customHeight="1" x14ac:dyDescent="0.35">
      <c r="A4" s="260"/>
      <c r="B4" s="174"/>
      <c r="C4" s="279">
        <f>IF(C5,C6,0)</f>
        <v>1</v>
      </c>
      <c r="D4" s="279">
        <f t="shared" ref="D4:N4" si="0">IF(D5,D6,0)</f>
        <v>0</v>
      </c>
      <c r="E4" s="279">
        <f t="shared" si="0"/>
        <v>0</v>
      </c>
      <c r="F4" s="279">
        <f t="shared" si="0"/>
        <v>0</v>
      </c>
      <c r="G4" s="279">
        <f t="shared" si="0"/>
        <v>0</v>
      </c>
      <c r="H4" s="279">
        <f t="shared" si="0"/>
        <v>0</v>
      </c>
      <c r="I4" s="279">
        <f t="shared" si="0"/>
        <v>0</v>
      </c>
      <c r="J4" s="279">
        <f t="shared" si="0"/>
        <v>0</v>
      </c>
      <c r="K4" s="279">
        <f t="shared" si="0"/>
        <v>0</v>
      </c>
      <c r="L4" s="279">
        <f t="shared" si="0"/>
        <v>0</v>
      </c>
      <c r="M4" s="279">
        <f t="shared" si="0"/>
        <v>0</v>
      </c>
      <c r="N4" s="279">
        <f t="shared" si="0"/>
        <v>0</v>
      </c>
      <c r="O4" s="171"/>
      <c r="P4" s="954" t="s">
        <v>1239</v>
      </c>
      <c r="Q4" s="954"/>
      <c r="R4" s="954"/>
      <c r="S4" s="954"/>
      <c r="T4" s="955">
        <v>1</v>
      </c>
      <c r="U4" s="956"/>
      <c r="V4" s="457" t="s">
        <v>1536</v>
      </c>
      <c r="W4" s="458"/>
      <c r="X4" s="458"/>
      <c r="Y4" s="458"/>
      <c r="Z4" s="459"/>
      <c r="AA4" s="459"/>
      <c r="AB4" s="459"/>
      <c r="AC4" s="459"/>
      <c r="AJ4" s="170"/>
      <c r="AK4" s="169"/>
      <c r="AM4" s="264"/>
    </row>
    <row r="5" spans="1:40" s="168" customFormat="1" ht="4" customHeight="1" x14ac:dyDescent="0.35">
      <c r="A5" s="260"/>
      <c r="B5" s="174"/>
      <c r="C5" s="279" t="b">
        <f>IF($T$4=LIQ_IMPUESTOS!$C5,TRUE,FALSE)</f>
        <v>1</v>
      </c>
      <c r="D5" s="279" t="b">
        <f>IF($T$4=LIQ_IMPUESTOS!$C6,TRUE,FALSE)</f>
        <v>0</v>
      </c>
      <c r="E5" s="279" t="b">
        <f>IF($T$4=LIQ_IMPUESTOS!$C7,TRUE,FALSE)</f>
        <v>0</v>
      </c>
      <c r="F5" s="279" t="b">
        <f>IF($T$4=LIQ_IMPUESTOS!$C8,TRUE,FALSE)</f>
        <v>0</v>
      </c>
      <c r="G5" s="279" t="b">
        <f>IF($T$4=LIQ_IMPUESTOS!$C9,TRUE,FALSE)</f>
        <v>0</v>
      </c>
      <c r="H5" s="279" t="b">
        <f>IF($T$4=LIQ_IMPUESTOS!$C10,TRUE,FALSE)</f>
        <v>0</v>
      </c>
      <c r="I5" s="279" t="b">
        <f>IF($T$4=LIQ_IMPUESTOS!$C11,TRUE,FALSE)</f>
        <v>0</v>
      </c>
      <c r="J5" s="279" t="b">
        <f>IF($T$4=LIQ_IMPUESTOS!$C12,TRUE,FALSE)</f>
        <v>0</v>
      </c>
      <c r="K5" s="279" t="b">
        <f>IF($T$4=LIQ_IMPUESTOS!$C13,TRUE,FALSE)</f>
        <v>0</v>
      </c>
      <c r="L5" s="279" t="b">
        <f>IF($T$4=LIQ_IMPUESTOS!$C14,TRUE,FALSE)</f>
        <v>0</v>
      </c>
      <c r="M5" s="279" t="b">
        <f>IF($T$4=LIQ_IMPUESTOS!$C15,TRUE,FALSE)</f>
        <v>0</v>
      </c>
      <c r="N5" s="279" t="b">
        <f>IF($T$4=LIQ_IMPUESTOS!$C16,TRUE,FALSE)</f>
        <v>0</v>
      </c>
      <c r="O5" s="171"/>
      <c r="P5" s="170"/>
      <c r="Q5" s="170"/>
      <c r="R5" s="170"/>
      <c r="S5" s="170"/>
      <c r="T5" s="170"/>
      <c r="U5" s="170"/>
      <c r="V5" s="170"/>
      <c r="W5" s="170"/>
      <c r="X5" s="170"/>
      <c r="Y5" s="170"/>
      <c r="AJ5" s="170"/>
      <c r="AK5" s="169"/>
      <c r="AM5" s="264"/>
    </row>
    <row r="6" spans="1:40" s="168" customFormat="1" ht="11.25" customHeight="1" x14ac:dyDescent="0.35">
      <c r="A6" s="1029">
        <v>101</v>
      </c>
      <c r="B6" s="1205" t="s">
        <v>927</v>
      </c>
      <c r="C6" s="1028">
        <v>1</v>
      </c>
      <c r="D6" s="1028">
        <v>2</v>
      </c>
      <c r="E6" s="1028">
        <v>3</v>
      </c>
      <c r="F6" s="1028">
        <v>4</v>
      </c>
      <c r="G6" s="1028">
        <v>5</v>
      </c>
      <c r="H6" s="1028">
        <v>6</v>
      </c>
      <c r="I6" s="1028">
        <v>7</v>
      </c>
      <c r="J6" s="1028">
        <v>8</v>
      </c>
      <c r="K6" s="1028">
        <v>9</v>
      </c>
      <c r="L6" s="1028">
        <v>10</v>
      </c>
      <c r="M6" s="1028">
        <v>11</v>
      </c>
      <c r="N6" s="1028">
        <v>12</v>
      </c>
      <c r="O6" s="170"/>
      <c r="P6" s="1029">
        <v>102</v>
      </c>
      <c r="Q6" s="1024" t="s">
        <v>926</v>
      </c>
      <c r="R6" s="1022" t="str">
        <f>MID(XLSperiodo,1,1)</f>
        <v>2</v>
      </c>
      <c r="S6" s="1022" t="str">
        <f>MID(XLSperiodo,2,1)</f>
        <v>0</v>
      </c>
      <c r="T6" s="1022" t="str">
        <f>MID(XLSperiodo,3,1)</f>
        <v>2</v>
      </c>
      <c r="U6" s="1022" t="str">
        <f>MID(XLSperiodo,4,1)</f>
        <v>5</v>
      </c>
      <c r="W6" s="1089">
        <v>104</v>
      </c>
      <c r="X6" s="1091" t="s">
        <v>925</v>
      </c>
      <c r="Y6" s="1092"/>
      <c r="Z6" s="1092"/>
      <c r="AA6" s="1092"/>
      <c r="AB6" s="1092"/>
      <c r="AC6" s="1092"/>
      <c r="AD6" s="1092"/>
      <c r="AE6" s="1093"/>
      <c r="AG6" s="1089">
        <v>203</v>
      </c>
      <c r="AH6" s="1091" t="s">
        <v>2171</v>
      </c>
      <c r="AI6" s="1092"/>
      <c r="AJ6" s="1093"/>
      <c r="AK6" s="169"/>
      <c r="AM6" s="264"/>
    </row>
    <row r="7" spans="1:40" s="168" customFormat="1" ht="20.25" customHeight="1" x14ac:dyDescent="0.35">
      <c r="A7" s="1029"/>
      <c r="B7" s="1205"/>
      <c r="C7" s="1028"/>
      <c r="D7" s="1028"/>
      <c r="E7" s="1028"/>
      <c r="F7" s="1028"/>
      <c r="G7" s="1028"/>
      <c r="H7" s="1028"/>
      <c r="I7" s="1028"/>
      <c r="J7" s="1028"/>
      <c r="K7" s="1028"/>
      <c r="L7" s="1028"/>
      <c r="M7" s="1028"/>
      <c r="N7" s="1028"/>
      <c r="O7" s="170"/>
      <c r="P7" s="1029"/>
      <c r="Q7" s="1024"/>
      <c r="R7" s="1023"/>
      <c r="S7" s="1023"/>
      <c r="T7" s="1023"/>
      <c r="U7" s="1023"/>
      <c r="V7" s="170"/>
      <c r="W7" s="1090"/>
      <c r="X7" s="1025"/>
      <c r="Y7" s="1026"/>
      <c r="Z7" s="1026"/>
      <c r="AA7" s="1026"/>
      <c r="AB7" s="1026"/>
      <c r="AC7" s="1026"/>
      <c r="AD7" s="1026"/>
      <c r="AE7" s="1027"/>
      <c r="AG7" s="1090"/>
      <c r="AH7" s="1025"/>
      <c r="AI7" s="1026"/>
      <c r="AJ7" s="1027"/>
      <c r="AK7" s="169"/>
      <c r="AM7" s="264"/>
    </row>
    <row r="8" spans="1:40" ht="22.5" customHeight="1" x14ac:dyDescent="0.35">
      <c r="A8" s="167" t="s">
        <v>924</v>
      </c>
      <c r="B8" s="166"/>
      <c r="C8" s="166"/>
      <c r="D8" s="166"/>
      <c r="E8" s="166"/>
      <c r="F8" s="167"/>
      <c r="G8" s="166"/>
      <c r="H8" s="166"/>
      <c r="I8" s="166"/>
      <c r="J8" s="166"/>
      <c r="K8" s="166"/>
      <c r="L8" s="166"/>
      <c r="M8" s="166"/>
      <c r="N8" s="166"/>
      <c r="O8" s="166"/>
      <c r="P8" s="166"/>
      <c r="Q8" s="166"/>
      <c r="R8" s="166"/>
      <c r="S8" s="166"/>
      <c r="T8" s="166"/>
      <c r="U8" s="166"/>
      <c r="V8" s="166"/>
      <c r="W8" s="166"/>
      <c r="X8" s="166"/>
      <c r="Y8" s="166"/>
      <c r="Z8" s="166"/>
      <c r="AA8" s="166"/>
      <c r="AB8" s="166"/>
      <c r="AC8" s="166"/>
      <c r="AD8" s="166"/>
      <c r="AE8" s="166"/>
      <c r="AF8" s="165"/>
      <c r="AG8" s="165"/>
      <c r="AH8" s="165"/>
      <c r="AI8" s="165"/>
      <c r="AJ8" s="165"/>
      <c r="AK8" s="164"/>
      <c r="AM8" s="264"/>
    </row>
    <row r="9" spans="1:40" ht="12.75" customHeight="1" x14ac:dyDescent="0.35">
      <c r="A9" s="1020">
        <v>201</v>
      </c>
      <c r="B9" s="163" t="s">
        <v>923</v>
      </c>
      <c r="C9" s="162"/>
      <c r="D9" s="162"/>
      <c r="E9" s="162"/>
      <c r="F9" s="162"/>
      <c r="G9" s="162"/>
      <c r="H9" s="162"/>
      <c r="I9" s="162"/>
      <c r="J9" s="162"/>
      <c r="K9" s="162"/>
      <c r="L9" s="162"/>
      <c r="M9" s="162"/>
      <c r="N9" s="162"/>
      <c r="O9" s="161">
        <v>202</v>
      </c>
      <c r="P9" s="160" t="s">
        <v>922</v>
      </c>
      <c r="Q9" s="37"/>
      <c r="R9" s="159"/>
      <c r="S9" s="159"/>
      <c r="T9" s="159"/>
      <c r="U9" s="159"/>
      <c r="V9" s="159"/>
      <c r="W9" s="159"/>
      <c r="X9" s="159"/>
      <c r="Y9" s="159"/>
      <c r="Z9" s="159"/>
      <c r="AA9" s="159"/>
      <c r="AB9" s="159"/>
      <c r="AC9" s="159"/>
      <c r="AD9" s="159"/>
      <c r="AE9" s="159"/>
      <c r="AF9" s="159"/>
      <c r="AG9" s="159"/>
      <c r="AH9" s="159"/>
      <c r="AI9" s="159"/>
      <c r="AJ9" s="159"/>
      <c r="AK9" s="158"/>
      <c r="AM9" s="264"/>
    </row>
    <row r="10" spans="1:40" ht="18.75" customHeight="1" x14ac:dyDescent="0.35">
      <c r="A10" s="1021"/>
      <c r="B10" s="1206" t="str">
        <f>Parametros!D4</f>
        <v>1306304542001</v>
      </c>
      <c r="C10" s="1207"/>
      <c r="D10" s="1207"/>
      <c r="E10" s="1207"/>
      <c r="F10" s="1207"/>
      <c r="G10" s="1207"/>
      <c r="H10" s="1207"/>
      <c r="I10" s="1207"/>
      <c r="J10" s="1207"/>
      <c r="K10" s="1207"/>
      <c r="L10" s="1207"/>
      <c r="M10" s="1207"/>
      <c r="N10" s="1208"/>
      <c r="O10" s="157"/>
      <c r="P10" s="1203" t="str">
        <f>+Parametros!D5</f>
        <v>VELIZ NAPA JAVIER</v>
      </c>
      <c r="Q10" s="1203"/>
      <c r="R10" s="1203"/>
      <c r="S10" s="1203"/>
      <c r="T10" s="1203"/>
      <c r="U10" s="1203"/>
      <c r="V10" s="1203"/>
      <c r="W10" s="1203"/>
      <c r="X10" s="1203"/>
      <c r="Y10" s="1203"/>
      <c r="Z10" s="1203"/>
      <c r="AA10" s="1203"/>
      <c r="AB10" s="1203"/>
      <c r="AC10" s="1203"/>
      <c r="AD10" s="1203"/>
      <c r="AE10" s="1203"/>
      <c r="AF10" s="1203"/>
      <c r="AG10" s="1203"/>
      <c r="AH10" s="1203"/>
      <c r="AI10" s="1203"/>
      <c r="AJ10" s="1203"/>
      <c r="AK10" s="1204"/>
      <c r="AM10" s="264"/>
    </row>
    <row r="11" spans="1:40" ht="8.25" customHeight="1" thickBot="1" x14ac:dyDescent="0.4">
      <c r="A11" s="156"/>
      <c r="B11" s="155"/>
      <c r="AK11" s="19"/>
      <c r="AM11" s="264"/>
    </row>
    <row r="12" spans="1:40" s="75" customFormat="1" ht="19.5" customHeight="1" thickBot="1" x14ac:dyDescent="0.4">
      <c r="A12" s="154" t="s">
        <v>921</v>
      </c>
      <c r="B12" s="152"/>
      <c r="C12" s="152"/>
      <c r="D12" s="152"/>
      <c r="E12" s="152"/>
      <c r="F12" s="153"/>
      <c r="G12" s="152"/>
      <c r="H12" s="152"/>
      <c r="I12" s="152"/>
      <c r="J12" s="152"/>
      <c r="K12" s="152"/>
      <c r="L12" s="152"/>
      <c r="M12" s="152"/>
      <c r="N12" s="152"/>
      <c r="O12" s="151"/>
      <c r="P12" s="1127" t="s">
        <v>876</v>
      </c>
      <c r="Q12" s="1128"/>
      <c r="R12" s="1128"/>
      <c r="S12" s="1128"/>
      <c r="T12" s="1128"/>
      <c r="U12" s="1128"/>
      <c r="V12" s="1129"/>
      <c r="W12" s="1057" t="s">
        <v>875</v>
      </c>
      <c r="X12" s="1058"/>
      <c r="Y12" s="1058"/>
      <c r="Z12" s="1058"/>
      <c r="AA12" s="1058"/>
      <c r="AB12" s="1058"/>
      <c r="AC12" s="1058"/>
      <c r="AD12" s="1059"/>
      <c r="AE12" s="1127" t="s">
        <v>874</v>
      </c>
      <c r="AF12" s="1128"/>
      <c r="AG12" s="1128"/>
      <c r="AH12" s="1128"/>
      <c r="AI12" s="1128"/>
      <c r="AJ12" s="1128"/>
      <c r="AK12" s="1129"/>
      <c r="AM12" s="264"/>
      <c r="AN12" s="462"/>
    </row>
    <row r="13" spans="1:40" s="75" customFormat="1" ht="18.75" customHeight="1" x14ac:dyDescent="0.35">
      <c r="A13" s="150" t="s">
        <v>2095</v>
      </c>
      <c r="B13" s="118"/>
      <c r="C13" s="118"/>
      <c r="D13" s="118"/>
      <c r="E13" s="118"/>
      <c r="F13" s="118"/>
      <c r="G13" s="118"/>
      <c r="H13" s="118"/>
      <c r="I13" s="118"/>
      <c r="J13" s="118"/>
      <c r="K13" s="118"/>
      <c r="L13" s="118"/>
      <c r="M13" s="118"/>
      <c r="N13" s="118"/>
      <c r="O13" s="118"/>
      <c r="P13" s="149" t="s">
        <v>920</v>
      </c>
      <c r="Q13" s="148" t="s">
        <v>773</v>
      </c>
      <c r="R13" s="1183">
        <f>SUMIFS(VENTAS!BG:BG,VENTAS!AJ:AJ,W13,VENTAS!BF:BF,"SI")+SUMIFS(VENTAS!BH:BH,VENTAS!AL:AL,W13,VENTAS!BF:BF,"SI")+SUMIFS(VENTAS!BI:BI,VENTAS!AN:AN,W13,VENTAS!BF:BF,"SI")</f>
        <v>0</v>
      </c>
      <c r="S13" s="1184"/>
      <c r="T13" s="1184"/>
      <c r="U13" s="1184"/>
      <c r="V13" s="1185"/>
      <c r="W13" s="40" t="s">
        <v>919</v>
      </c>
      <c r="X13" s="74" t="s">
        <v>773</v>
      </c>
      <c r="Y13" s="135">
        <f>SUMIFS(VENTAS!AK:AK,VENTAS!AJ:AJ,W13,VENTAS!BF:BF,"SI")+SUMIFS(VENTAS!AM:AM,VENTAS!AL:AL,W13,VENTAS!BF:BF,"SI")+SUMIFS(VENTAS!AO:AO,VENTAS!AN:AN,W13,VENTAS!BF:BF,"SI")</f>
        <v>0</v>
      </c>
      <c r="Z13" s="1100">
        <f>IF(Y13&lt;0,0,Y13)</f>
        <v>0</v>
      </c>
      <c r="AA13" s="1101"/>
      <c r="AB13" s="1101"/>
      <c r="AC13" s="1101"/>
      <c r="AD13" s="1102"/>
      <c r="AE13" s="147" t="s">
        <v>918</v>
      </c>
      <c r="AF13" s="146" t="s">
        <v>773</v>
      </c>
      <c r="AG13" s="1157">
        <f>IF(Z13&gt;0,SUMIFS(VENTAS!R:R,VENTAS!AJ:AJ,W13,VENTAS!BF:BF,"SI")+SUMIFS(VENTAS!R:R,VENTAS!AL:AL,W13,VENTAS!BF:BF,"SI")+SUMIFS(VENTAS!R:R,VENTAS!AN:AN,W13,VENTAS!BF:BF,"SI"),0)</f>
        <v>0</v>
      </c>
      <c r="AH13" s="1152"/>
      <c r="AI13" s="1152"/>
      <c r="AJ13" s="1152"/>
      <c r="AK13" s="1153"/>
      <c r="AL13" s="145"/>
      <c r="AM13" s="264"/>
      <c r="AN13" s="462"/>
    </row>
    <row r="14" spans="1:40" s="75" customFormat="1" ht="18.75" customHeight="1" x14ac:dyDescent="0.35">
      <c r="A14" s="42" t="s">
        <v>2096</v>
      </c>
      <c r="B14" s="15"/>
      <c r="C14" s="15"/>
      <c r="D14" s="15"/>
      <c r="E14" s="15"/>
      <c r="F14" s="15"/>
      <c r="G14" s="15"/>
      <c r="H14" s="15"/>
      <c r="I14" s="15"/>
      <c r="J14" s="15"/>
      <c r="K14" s="15"/>
      <c r="L14" s="15"/>
      <c r="M14" s="15"/>
      <c r="N14" s="15"/>
      <c r="O14" s="15"/>
      <c r="P14" s="72" t="s">
        <v>917</v>
      </c>
      <c r="Q14" s="53" t="s">
        <v>773</v>
      </c>
      <c r="R14" s="1084">
        <f>SUMIFS(VENTAS!BG:BG,VENTAS!AJ:AJ,W14,VENTAS!BF:BF,"SI")+SUMIFS(VENTAS!BH:BH,VENTAS!AL:AL,W14,VENTAS!BF:BF,"SI")+SUMIFS(VENTAS!BI:BI,VENTAS!AN:AN,W14,VENTAS!BF:BF,"SI")</f>
        <v>0</v>
      </c>
      <c r="S14" s="1084"/>
      <c r="T14" s="1084"/>
      <c r="U14" s="1084"/>
      <c r="V14" s="1084"/>
      <c r="W14" s="72" t="s">
        <v>916</v>
      </c>
      <c r="X14" s="53" t="s">
        <v>773</v>
      </c>
      <c r="Y14" s="135">
        <f>SUMIFS(VENTAS!AK:AK,VENTAS!AJ:AJ,W14,VENTAS!BF:BF,"SI")+SUMIFS(VENTAS!AM:AM,VENTAS!AL:AL,W14,VENTAS!BF:BF,"SI")+SUMIFS(VENTAS!AO:AO,VENTAS!AN:AN,W14,VENTAS!BF:BF,"SI")</f>
        <v>0</v>
      </c>
      <c r="Z14" s="1085">
        <f>IF(Y14&lt;0,0,Y14)</f>
        <v>0</v>
      </c>
      <c r="AA14" s="1086"/>
      <c r="AB14" s="1086"/>
      <c r="AC14" s="1086"/>
      <c r="AD14" s="1087"/>
      <c r="AE14" s="36" t="s">
        <v>915</v>
      </c>
      <c r="AF14" s="51" t="s">
        <v>773</v>
      </c>
      <c r="AG14" s="1085">
        <f>IF(Z14&gt;0,SUMIFS(VENTAS!R:R,VENTAS!AJ:AJ,W14,VENTAS!BF:BF,"SI")+SUMIFS(VENTAS!R:R,VENTAS!AL:AL,W14,VENTAS!BF:BF,"SI")+SUMIFS(VENTAS!R:R,VENTAS!AN:AN,W14,VENTAS!BF:BF,"SI"),0)</f>
        <v>0</v>
      </c>
      <c r="AH14" s="1086"/>
      <c r="AI14" s="1086"/>
      <c r="AJ14" s="1086"/>
      <c r="AK14" s="1088"/>
      <c r="AL14" s="144"/>
      <c r="AM14" s="264"/>
      <c r="AN14" s="462"/>
    </row>
    <row r="15" spans="1:40" s="75" customFormat="1" ht="18.75" customHeight="1" x14ac:dyDescent="0.35">
      <c r="A15" s="42" t="s">
        <v>2097</v>
      </c>
      <c r="B15" s="15"/>
      <c r="C15" s="15"/>
      <c r="D15" s="15"/>
      <c r="E15" s="15"/>
      <c r="F15" s="15"/>
      <c r="G15" s="15"/>
      <c r="H15" s="15"/>
      <c r="I15" s="15"/>
      <c r="J15" s="15"/>
      <c r="K15" s="15"/>
      <c r="L15" s="15"/>
      <c r="M15" s="15"/>
      <c r="N15" s="15"/>
      <c r="O15" s="15"/>
      <c r="P15" s="72" t="s">
        <v>2106</v>
      </c>
      <c r="Q15" s="53" t="s">
        <v>773</v>
      </c>
      <c r="R15" s="1084">
        <f>SUMIFS(VENTAS!BG:BG,VENTAS!AJ:AJ,W15,VENTAS!BF:BF,"SI")+SUMIFS(VENTAS!BH:BH,VENTAS!AL:AL,W15,VENTAS!BF:BF,"SI")+SUMIFS(VENTAS!BI:BI,VENTAS!AN:AN,W15,VENTAS!BF:BF,"SI")</f>
        <v>0</v>
      </c>
      <c r="S15" s="1084"/>
      <c r="T15" s="1084"/>
      <c r="U15" s="1084"/>
      <c r="V15" s="1084"/>
      <c r="W15" s="72" t="s">
        <v>2107</v>
      </c>
      <c r="X15" s="53" t="s">
        <v>773</v>
      </c>
      <c r="Y15" s="135">
        <f>SUMIFS(VENTAS!AK:AK,VENTAS!AJ:AJ,W15,VENTAS!BF:BF,"SI")+SUMIFS(VENTAS!AM:AM,VENTAS!AL:AL,W15,VENTAS!BF:BF,"SI")+SUMIFS(VENTAS!AO:AO,VENTAS!AN:AN,W15,VENTAS!BF:BF,"SI")</f>
        <v>0</v>
      </c>
      <c r="Z15" s="1085">
        <f>IF(Y15&lt;0,0,Y15)</f>
        <v>0</v>
      </c>
      <c r="AA15" s="1086"/>
      <c r="AB15" s="1086"/>
      <c r="AC15" s="1086"/>
      <c r="AD15" s="1087"/>
      <c r="AE15" s="36" t="s">
        <v>2108</v>
      </c>
      <c r="AF15" s="51" t="s">
        <v>773</v>
      </c>
      <c r="AG15" s="1085">
        <f>IF(Z15&gt;0,SUMIFS(VENTAS!X:X,VENTAS!AJ:AJ,W15,VENTAS!BF:BF,"SI")+SUMIFS(VENTAS!X:X,VENTAS!AL:AL,W15,VENTAS!BF:BF,"SI")+SUMIFS(VENTAS!X:X,VENTAS!AN:AN,W15,VENTAS!BF:BF,"SI"),0)</f>
        <v>0</v>
      </c>
      <c r="AH15" s="1086"/>
      <c r="AI15" s="1086"/>
      <c r="AJ15" s="1086"/>
      <c r="AK15" s="1088"/>
      <c r="AL15" s="144"/>
      <c r="AM15" s="264"/>
      <c r="AN15" s="462"/>
    </row>
    <row r="16" spans="1:40" s="75" customFormat="1" ht="18.75" customHeight="1" x14ac:dyDescent="0.35">
      <c r="A16" s="42" t="s">
        <v>2344</v>
      </c>
      <c r="B16" s="15"/>
      <c r="C16" s="15"/>
      <c r="D16" s="15"/>
      <c r="E16" s="15"/>
      <c r="F16" s="15"/>
      <c r="G16" s="15"/>
      <c r="H16" s="15"/>
      <c r="I16" s="15"/>
      <c r="J16" s="15"/>
      <c r="K16" s="15"/>
      <c r="L16" s="15"/>
      <c r="M16" s="15"/>
      <c r="N16" s="15"/>
      <c r="O16" s="15"/>
      <c r="P16" s="72" t="s">
        <v>2345</v>
      </c>
      <c r="Q16" s="53" t="s">
        <v>773</v>
      </c>
      <c r="R16" s="1084">
        <f>SUMIFS(VENTAS!BG:BG,VENTAS!AJ:AJ,W16,VENTAS!BF:BF,"SI")+SUMIFS(VENTAS!BH:BH,VENTAS!AL:AL,W16,VENTAS!BF:BF,"SI")+SUMIFS(VENTAS!BI:BI,VENTAS!AN:AN,W16,VENTAS!BF:BF,"SI")</f>
        <v>0</v>
      </c>
      <c r="S16" s="1084"/>
      <c r="T16" s="1084"/>
      <c r="U16" s="1084"/>
      <c r="V16" s="1084"/>
      <c r="W16" s="72" t="s">
        <v>2346</v>
      </c>
      <c r="X16" s="53" t="s">
        <v>773</v>
      </c>
      <c r="Y16" s="135">
        <f>SUMIFS(VENTAS!AK:AK,VENTAS!AJ:AJ,W16,VENTAS!BF:BF,"SI")+SUMIFS(VENTAS!AM:AM,VENTAS!AL:AL,W16,VENTAS!BF:BF,"SI")+SUMIFS(VENTAS!AO:AO,VENTAS!AN:AN,W16,VENTAS!BF:BF,"SI")</f>
        <v>0</v>
      </c>
      <c r="Z16" s="1085">
        <f>IF(Y16&lt;0,0,Y16)</f>
        <v>0</v>
      </c>
      <c r="AA16" s="1086"/>
      <c r="AB16" s="1086"/>
      <c r="AC16" s="1086"/>
      <c r="AD16" s="1087"/>
      <c r="AE16" s="36" t="s">
        <v>2347</v>
      </c>
      <c r="AF16" s="51" t="s">
        <v>773</v>
      </c>
      <c r="AG16" s="1085">
        <f>IF(Z16&gt;0,SUMIFS(VENTAS!U:U,VENTAS!AJ:AJ,W16,VENTAS!BF:BF,"SI")+SUMIFS(VENTAS!U:U,VENTAS!AL:AL,W16,VENTAS!BF:BF,"SI")+SUMIFS(VENTAS!U:U,VENTAS!AN:AN,W16,VENTAS!BF:BF,"SI"),0)</f>
        <v>0</v>
      </c>
      <c r="AH16" s="1086"/>
      <c r="AI16" s="1086"/>
      <c r="AJ16" s="1086"/>
      <c r="AK16" s="1088"/>
      <c r="AL16" s="144"/>
      <c r="AM16" s="264"/>
      <c r="AN16" s="462"/>
    </row>
    <row r="17" spans="1:40" ht="18.75" customHeight="1" x14ac:dyDescent="0.35">
      <c r="A17" s="42" t="s">
        <v>2098</v>
      </c>
      <c r="B17" s="15"/>
      <c r="C17" s="15"/>
      <c r="D17" s="15"/>
      <c r="E17" s="15"/>
      <c r="F17" s="15"/>
      <c r="G17" s="15"/>
      <c r="H17" s="15"/>
      <c r="I17" s="15"/>
      <c r="J17" s="15"/>
      <c r="K17" s="15"/>
      <c r="L17" s="15"/>
      <c r="M17" s="15"/>
      <c r="N17" s="15"/>
      <c r="O17" s="15"/>
      <c r="P17" s="128"/>
      <c r="Q17" s="127"/>
      <c r="R17" s="127"/>
      <c r="S17" s="127"/>
      <c r="T17" s="127"/>
      <c r="U17" s="127"/>
      <c r="V17" s="126"/>
      <c r="W17" s="128"/>
      <c r="X17" s="127"/>
      <c r="Y17" s="127"/>
      <c r="Z17" s="127"/>
      <c r="AA17" s="127"/>
      <c r="AB17" s="127"/>
      <c r="AC17" s="127"/>
      <c r="AD17" s="126"/>
      <c r="AE17" s="36" t="s">
        <v>914</v>
      </c>
      <c r="AF17" s="51" t="s">
        <v>773</v>
      </c>
      <c r="AG17" s="1124">
        <v>0</v>
      </c>
      <c r="AH17" s="1125"/>
      <c r="AI17" s="1125"/>
      <c r="AJ17" s="1125"/>
      <c r="AK17" s="1126"/>
      <c r="AL17" s="75"/>
      <c r="AM17" s="264"/>
      <c r="AN17" s="269"/>
    </row>
    <row r="18" spans="1:40" ht="18.75" customHeight="1" x14ac:dyDescent="0.35">
      <c r="A18" s="42" t="s">
        <v>2099</v>
      </c>
      <c r="B18" s="15"/>
      <c r="C18" s="15"/>
      <c r="D18" s="15"/>
      <c r="E18" s="15"/>
      <c r="F18" s="15"/>
      <c r="G18" s="15"/>
      <c r="H18" s="15"/>
      <c r="I18" s="15"/>
      <c r="J18" s="15"/>
      <c r="K18" s="15"/>
      <c r="L18" s="15"/>
      <c r="M18" s="15"/>
      <c r="N18" s="15"/>
      <c r="O18" s="15"/>
      <c r="P18" s="128"/>
      <c r="Q18" s="127"/>
      <c r="R18" s="127"/>
      <c r="S18" s="127"/>
      <c r="T18" s="127"/>
      <c r="U18" s="127"/>
      <c r="V18" s="126"/>
      <c r="W18" s="128"/>
      <c r="X18" s="127"/>
      <c r="Y18" s="127"/>
      <c r="Z18" s="127"/>
      <c r="AA18" s="127"/>
      <c r="AB18" s="127"/>
      <c r="AC18" s="127"/>
      <c r="AD18" s="126"/>
      <c r="AE18" s="36" t="s">
        <v>1041</v>
      </c>
      <c r="AF18" s="51" t="s">
        <v>773</v>
      </c>
      <c r="AG18" s="1124">
        <v>0</v>
      </c>
      <c r="AH18" s="1125"/>
      <c r="AI18" s="1125"/>
      <c r="AJ18" s="1125"/>
      <c r="AK18" s="1126"/>
      <c r="AL18" s="75"/>
      <c r="AM18" s="264"/>
    </row>
    <row r="19" spans="1:40" s="75" customFormat="1" ht="18.75" customHeight="1" x14ac:dyDescent="0.2">
      <c r="A19" s="41" t="s">
        <v>2100</v>
      </c>
      <c r="B19" s="567"/>
      <c r="C19" s="567"/>
      <c r="D19" s="567"/>
      <c r="E19" s="567"/>
      <c r="F19" s="567"/>
      <c r="G19" s="567"/>
      <c r="H19" s="567"/>
      <c r="I19" s="567"/>
      <c r="J19" s="567"/>
      <c r="K19" s="567"/>
      <c r="L19" s="567"/>
      <c r="M19" s="567"/>
      <c r="N19" s="567"/>
      <c r="O19" s="568"/>
      <c r="P19" s="72" t="s">
        <v>913</v>
      </c>
      <c r="Q19" s="53" t="s">
        <v>773</v>
      </c>
      <c r="R19" s="1084">
        <f>SUMIFS(VENTAS!BG:BG,VENTAS!AJ:AJ,W19,VENTAS!BF:BF,"SI")+SUMIFS(VENTAS!BH:BH,VENTAS!AL:AL,W19,VENTAS!BF:BF,"SI")+SUMIFS(VENTAS!BI:BI,VENTAS!AN:AN,W19,VENTAS!BF:BF,"SI")</f>
        <v>0</v>
      </c>
      <c r="S19" s="1084"/>
      <c r="T19" s="1084"/>
      <c r="U19" s="1084"/>
      <c r="V19" s="1084"/>
      <c r="W19" s="72" t="s">
        <v>912</v>
      </c>
      <c r="X19" s="53" t="s">
        <v>773</v>
      </c>
      <c r="Y19" s="280">
        <f>SUMIFS(VENTAS!AK:AK,VENTAS!AJ:AJ,W19,VENTAS!BF:BF,"SI")+SUMIFS(VENTAS!AM:AM,VENTAS!AL:AL,W19,VENTAS!BF:BF,"SI")+SUMIFS(VENTAS!AO:AO,VENTAS!AN:AN,W19,VENTAS!BF:BF,"SI")</f>
        <v>0</v>
      </c>
      <c r="Z19" s="1085">
        <f t="shared" ref="Z19:Z24" si="1">IF(Y19&lt;0,0,Y19)</f>
        <v>0</v>
      </c>
      <c r="AA19" s="1086"/>
      <c r="AB19" s="1086"/>
      <c r="AC19" s="1086"/>
      <c r="AD19" s="1087"/>
      <c r="AE19" s="1166"/>
      <c r="AF19" s="1167"/>
      <c r="AG19" s="1167"/>
      <c r="AH19" s="1167"/>
      <c r="AI19" s="1167"/>
      <c r="AJ19" s="1167"/>
      <c r="AK19" s="1168"/>
    </row>
    <row r="20" spans="1:40" s="75" customFormat="1" ht="18.75" customHeight="1" x14ac:dyDescent="0.35">
      <c r="A20" s="41" t="s">
        <v>2101</v>
      </c>
      <c r="B20" s="569"/>
      <c r="C20" s="569"/>
      <c r="D20" s="569"/>
      <c r="E20" s="569"/>
      <c r="F20" s="569"/>
      <c r="G20" s="569"/>
      <c r="H20" s="569"/>
      <c r="I20" s="569"/>
      <c r="J20" s="569"/>
      <c r="K20" s="569"/>
      <c r="L20" s="569"/>
      <c r="M20" s="569"/>
      <c r="N20" s="569"/>
      <c r="O20" s="570"/>
      <c r="P20" s="72" t="s">
        <v>911</v>
      </c>
      <c r="Q20" s="53" t="s">
        <v>773</v>
      </c>
      <c r="R20" s="1084">
        <f>SUMIFS(VENTAS!BG:BG,VENTAS!AJ:AJ,W20,VENTAS!BF:BF,"SI")+SUMIFS(VENTAS!BH:BH,VENTAS!AL:AL,W20,VENTAS!BF:BF,"SI")+SUMIFS(VENTAS!BI:BI,VENTAS!AN:AN,W20,VENTAS!BF:BF,"SI")</f>
        <v>0</v>
      </c>
      <c r="S20" s="1084"/>
      <c r="T20" s="1084"/>
      <c r="U20" s="1084"/>
      <c r="V20" s="1084"/>
      <c r="W20" s="72" t="s">
        <v>910</v>
      </c>
      <c r="X20" s="53" t="s">
        <v>773</v>
      </c>
      <c r="Y20" s="135">
        <f>SUMIFS(VENTAS!AK:AK,VENTAS!AJ:AJ,W20,VENTAS!BF:BF,"SI")+SUMIFS(VENTAS!AM:AM,VENTAS!AL:AL,W20,VENTAS!BF:BF,"SI")+SUMIFS(VENTAS!AO:AO,VENTAS!AN:AN,W20,VENTAS!BF:BF,"SI")</f>
        <v>0</v>
      </c>
      <c r="Z20" s="1085">
        <f t="shared" si="1"/>
        <v>0</v>
      </c>
      <c r="AA20" s="1086"/>
      <c r="AB20" s="1086"/>
      <c r="AC20" s="1086"/>
      <c r="AD20" s="1087"/>
      <c r="AE20" s="1169"/>
      <c r="AF20" s="1170"/>
      <c r="AG20" s="1170"/>
      <c r="AH20" s="1170"/>
      <c r="AI20" s="1170"/>
      <c r="AJ20" s="1170"/>
      <c r="AK20" s="1171"/>
    </row>
    <row r="21" spans="1:40" s="75" customFormat="1" ht="18.75" customHeight="1" x14ac:dyDescent="0.35">
      <c r="A21" s="41" t="s">
        <v>2102</v>
      </c>
      <c r="B21" s="569"/>
      <c r="C21" s="569"/>
      <c r="D21" s="569"/>
      <c r="E21" s="569"/>
      <c r="F21" s="569"/>
      <c r="G21" s="569"/>
      <c r="H21" s="569"/>
      <c r="I21" s="569"/>
      <c r="J21" s="569"/>
      <c r="K21" s="569"/>
      <c r="L21" s="569"/>
      <c r="M21" s="569"/>
      <c r="N21" s="569"/>
      <c r="O21" s="569"/>
      <c r="P21" s="72" t="s">
        <v>909</v>
      </c>
      <c r="Q21" s="53" t="s">
        <v>773</v>
      </c>
      <c r="R21" s="1084">
        <f>SUMIFS(VENTAS!BG:BG,VENTAS!AJ:AJ,W21,VENTAS!BF:BF,"SI")+SUMIFS(VENTAS!BH:BH,VENTAS!AL:AL,W21,VENTAS!BF:BF,"SI")+SUMIFS(VENTAS!BI:BI,VENTAS!AN:AN,W21,VENTAS!BF:BF,"SI")</f>
        <v>0</v>
      </c>
      <c r="S21" s="1084"/>
      <c r="T21" s="1084"/>
      <c r="U21" s="1084"/>
      <c r="V21" s="1084"/>
      <c r="W21" s="72" t="s">
        <v>908</v>
      </c>
      <c r="X21" s="53" t="s">
        <v>773</v>
      </c>
      <c r="Y21" s="135">
        <f>SUMIFS(VENTAS!AK:AK,VENTAS!AJ:AJ,W21,VENTAS!BF:BF,"SI")+SUMIFS(VENTAS!AM:AM,VENTAS!AL:AL,W21,VENTAS!BF:BF,"SI")+SUMIFS(VENTAS!AO:AO,VENTAS!AN:AN,W21,VENTAS!BF:BF,"SI")</f>
        <v>0</v>
      </c>
      <c r="Z21" s="1085">
        <f t="shared" si="1"/>
        <v>0</v>
      </c>
      <c r="AA21" s="1086"/>
      <c r="AB21" s="1086"/>
      <c r="AC21" s="1086"/>
      <c r="AD21" s="1087"/>
      <c r="AE21" s="1169"/>
      <c r="AF21" s="1170"/>
      <c r="AG21" s="1170"/>
      <c r="AH21" s="1170"/>
      <c r="AI21" s="1170"/>
      <c r="AJ21" s="1170"/>
      <c r="AK21" s="1171"/>
    </row>
    <row r="22" spans="1:40" s="75" customFormat="1" ht="18.75" customHeight="1" x14ac:dyDescent="0.35">
      <c r="A22" s="41" t="s">
        <v>2103</v>
      </c>
      <c r="B22" s="15"/>
      <c r="C22" s="15"/>
      <c r="D22" s="15"/>
      <c r="E22" s="15"/>
      <c r="F22" s="15"/>
      <c r="G22" s="15"/>
      <c r="H22" s="15"/>
      <c r="I22" s="15"/>
      <c r="J22" s="15"/>
      <c r="K22" s="15"/>
      <c r="L22" s="15"/>
      <c r="M22" s="15"/>
      <c r="N22" s="15"/>
      <c r="O22" s="15"/>
      <c r="P22" s="72" t="s">
        <v>907</v>
      </c>
      <c r="Q22" s="53" t="s">
        <v>773</v>
      </c>
      <c r="R22" s="1084">
        <f>SUMIFS(VENTAS!BG:BG,VENTAS!AJ:AJ,W22,VENTAS!BF:BF,"SI")+SUMIFS(VENTAS!BH:BH,VENTAS!AL:AL,W22,VENTAS!BF:BF,"SI")+SUMIFS(VENTAS!BI:BI,VENTAS!AN:AN,W22,VENTAS!BF:BF,"SI")</f>
        <v>0</v>
      </c>
      <c r="S22" s="1084"/>
      <c r="T22" s="1084"/>
      <c r="U22" s="1084"/>
      <c r="V22" s="1084"/>
      <c r="W22" s="72" t="s">
        <v>906</v>
      </c>
      <c r="X22" s="53" t="s">
        <v>773</v>
      </c>
      <c r="Y22" s="135">
        <f>SUMIFS(VENTAS!AK:AK,VENTAS!AJ:AJ,W22,VENTAS!BF:BF,"SI")+SUMIFS(VENTAS!AM:AM,VENTAS!AL:AL,W22,VENTAS!BF:BF,"SI")+SUMIFS(VENTAS!AO:AO,VENTAS!AN:AN,W22,VENTAS!BF:BF,"SI")</f>
        <v>0</v>
      </c>
      <c r="Z22" s="1085">
        <f t="shared" si="1"/>
        <v>0</v>
      </c>
      <c r="AA22" s="1086"/>
      <c r="AB22" s="1086"/>
      <c r="AC22" s="1086"/>
      <c r="AD22" s="1087"/>
      <c r="AE22" s="1169"/>
      <c r="AF22" s="1170"/>
      <c r="AG22" s="1170"/>
      <c r="AH22" s="1170"/>
      <c r="AI22" s="1170"/>
      <c r="AJ22" s="1170"/>
      <c r="AK22" s="1171"/>
    </row>
    <row r="23" spans="1:40" s="75" customFormat="1" ht="18.75" customHeight="1" x14ac:dyDescent="0.35">
      <c r="A23" s="42" t="s">
        <v>2104</v>
      </c>
      <c r="B23" s="15"/>
      <c r="C23" s="15"/>
      <c r="D23" s="15"/>
      <c r="E23" s="15"/>
      <c r="F23" s="15"/>
      <c r="G23" s="15"/>
      <c r="H23" s="15"/>
      <c r="I23" s="15"/>
      <c r="J23" s="15"/>
      <c r="K23" s="15"/>
      <c r="L23" s="15"/>
      <c r="M23" s="15"/>
      <c r="N23" s="15"/>
      <c r="O23" s="15"/>
      <c r="P23" s="72" t="s">
        <v>905</v>
      </c>
      <c r="Q23" s="53" t="s">
        <v>773</v>
      </c>
      <c r="R23" s="1084">
        <f>SUMIFS(VENTAS!BG:BG,VENTAS!AJ:AJ,W23,VENTAS!BF:BF,"SI")+SUMIFS(VENTAS!BH:BH,VENTAS!AL:AL,W23,VENTAS!BF:BF,"SI")+SUMIFS(VENTAS!BI:BI,VENTAS!AN:AN,W23,VENTAS!BF:BF,"SI")+SUMIFS(EXPORTACIONES!AN:AN,EXPORTACIONES!AG:AG,W23,EXPORTACIONES!AM:AM,"SI")+SUMIFS(EXPORTACIONES!AO:AO,EXPORTACIONES!AI:AI,W23,EXPORTACIONES!AM:AM,"SI")</f>
        <v>0</v>
      </c>
      <c r="S23" s="1084"/>
      <c r="T23" s="1084"/>
      <c r="U23" s="1084"/>
      <c r="V23" s="1084"/>
      <c r="W23" s="72" t="s">
        <v>904</v>
      </c>
      <c r="X23" s="53" t="s">
        <v>773</v>
      </c>
      <c r="Y23" s="135">
        <f>SUMIFS(VENTAS!AK:AK,VENTAS!AJ:AJ,W23,VENTAS!BF:BF,"SI")+SUMIFS(VENTAS!AM:AM,VENTAS!AL:AL,W23,VENTAS!BF:BF,"SI")+SUMIFS(VENTAS!AO:AO,VENTAS!AN:AN,W23,VENTAS!BF:BF,"SI")+SUMIFS(EXPORTACIONES!AH:AH,EXPORTACIONES!AG:AG,W23,EXPORTACIONES!AM:AM,"SI")+SUMIFS(EXPORTACIONES!AJ:AJ,EXPORTACIONES!AI:AI,W23,EXPORTACIONES!AM:AM,"SI")</f>
        <v>0</v>
      </c>
      <c r="Z23" s="1085">
        <f t="shared" si="1"/>
        <v>0</v>
      </c>
      <c r="AA23" s="1086"/>
      <c r="AB23" s="1086"/>
      <c r="AC23" s="1086"/>
      <c r="AD23" s="1087"/>
      <c r="AE23" s="1169"/>
      <c r="AF23" s="1170"/>
      <c r="AG23" s="1170"/>
      <c r="AH23" s="1170"/>
      <c r="AI23" s="1170"/>
      <c r="AJ23" s="1170"/>
      <c r="AK23" s="1171"/>
    </row>
    <row r="24" spans="1:40" s="75" customFormat="1" ht="18.75" customHeight="1" thickBot="1" x14ac:dyDescent="0.4">
      <c r="A24" s="42" t="s">
        <v>2105</v>
      </c>
      <c r="B24" s="15"/>
      <c r="C24" s="15"/>
      <c r="D24" s="15"/>
      <c r="E24" s="15"/>
      <c r="F24" s="15"/>
      <c r="G24" s="15"/>
      <c r="H24" s="15"/>
      <c r="I24" s="15"/>
      <c r="J24" s="15"/>
      <c r="K24" s="15"/>
      <c r="L24" s="15"/>
      <c r="M24" s="15"/>
      <c r="N24" s="15"/>
      <c r="O24" s="15"/>
      <c r="P24" s="72" t="s">
        <v>903</v>
      </c>
      <c r="Q24" s="51" t="s">
        <v>773</v>
      </c>
      <c r="R24" s="1084">
        <f>SUMIFS(VENTAS!BG:BG,VENTAS!AJ:AJ,W24,VENTAS!BF:BF,"SI")+SUMIFS(VENTAS!BH:BH,VENTAS!AL:AL,W24,VENTAS!BF:BF,"SI")+SUMIFS(VENTAS!BI:BI,VENTAS!AN:AN,W24,VENTAS!BF:BF,"SI")+SUMIFS(EXPORTACIONES!AN:AN,EXPORTACIONES!AG:AG,W24,EXPORTACIONES!AM:AM,"SI")+SUMIFS(EXPORTACIONES!AO:AO,EXPORTACIONES!AI:AI,W24,EXPORTACIONES!AM:AM,"SI")</f>
        <v>0</v>
      </c>
      <c r="S24" s="1084"/>
      <c r="T24" s="1084"/>
      <c r="U24" s="1084"/>
      <c r="V24" s="1084"/>
      <c r="W24" s="72" t="s">
        <v>902</v>
      </c>
      <c r="X24" s="51" t="s">
        <v>773</v>
      </c>
      <c r="Y24" s="135">
        <f>SUMIFS(VENTAS!AK:AK,VENTAS!AJ:AJ,W24,VENTAS!BF:BF,"SI")+SUMIFS(VENTAS!AM:AM,VENTAS!AL:AL,W24,VENTAS!BF:BF,"SI")+SUMIFS(VENTAS!AO:AO,VENTAS!AN:AN,W24,VENTAS!BF:BF,"SI")+SUMIFS(EXPORTACIONES!AH:AH,EXPORTACIONES!AG:AG,W24,EXPORTACIONES!AM:AM,"SI")+SUMIFS(EXPORTACIONES!AJ:AJ,EXPORTACIONES!AI:AI,W24,EXPORTACIONES!AM:AM,"SI")</f>
        <v>0</v>
      </c>
      <c r="Z24" s="1097">
        <f t="shared" si="1"/>
        <v>0</v>
      </c>
      <c r="AA24" s="1098"/>
      <c r="AB24" s="1098"/>
      <c r="AC24" s="1098"/>
      <c r="AD24" s="1099"/>
      <c r="AE24" s="1172"/>
      <c r="AF24" s="1173"/>
      <c r="AG24" s="1173"/>
      <c r="AH24" s="1173"/>
      <c r="AI24" s="1173"/>
      <c r="AJ24" s="1173"/>
      <c r="AK24" s="1174"/>
    </row>
    <row r="25" spans="1:40" s="75" customFormat="1" ht="18.75" customHeight="1" thickBot="1" x14ac:dyDescent="0.4">
      <c r="A25" s="64" t="s">
        <v>901</v>
      </c>
      <c r="B25" s="33"/>
      <c r="C25" s="33"/>
      <c r="D25" s="33"/>
      <c r="E25" s="33"/>
      <c r="F25" s="33"/>
      <c r="G25" s="33"/>
      <c r="H25" s="33"/>
      <c r="I25" s="33"/>
      <c r="J25" s="33"/>
      <c r="K25" s="33"/>
      <c r="L25" s="33"/>
      <c r="M25" s="33"/>
      <c r="N25" s="33"/>
      <c r="O25" s="78"/>
      <c r="P25" s="143" t="s">
        <v>900</v>
      </c>
      <c r="Q25" s="58" t="s">
        <v>771</v>
      </c>
      <c r="R25" s="1094">
        <f>SUM(R13:V24)</f>
        <v>0</v>
      </c>
      <c r="S25" s="1095"/>
      <c r="T25" s="1095"/>
      <c r="U25" s="1095"/>
      <c r="V25" s="1130"/>
      <c r="W25" s="143" t="s">
        <v>899</v>
      </c>
      <c r="X25" s="58" t="s">
        <v>771</v>
      </c>
      <c r="Y25" s="132">
        <f>+Z25+X26+X27+X28+X29</f>
        <v>0</v>
      </c>
      <c r="Z25" s="1094">
        <f>SUM(Z13:AD24)</f>
        <v>0</v>
      </c>
      <c r="AA25" s="1095"/>
      <c r="AB25" s="1095"/>
      <c r="AC25" s="1095"/>
      <c r="AD25" s="1096"/>
      <c r="AE25" s="59" t="s">
        <v>898</v>
      </c>
      <c r="AF25" s="58" t="s">
        <v>771</v>
      </c>
      <c r="AG25" s="1094">
        <f>IF((SUM(AG13:AK17)-AG18)&gt;0,(SUM(AG13:AK17)-AG18),0)</f>
        <v>0</v>
      </c>
      <c r="AH25" s="1095"/>
      <c r="AI25" s="1095"/>
      <c r="AJ25" s="1095"/>
      <c r="AK25" s="1130"/>
    </row>
    <row r="26" spans="1:40" ht="18.75" customHeight="1" x14ac:dyDescent="0.35">
      <c r="A26" s="129" t="s">
        <v>2109</v>
      </c>
      <c r="B26" s="43"/>
      <c r="C26" s="43"/>
      <c r="D26" s="43"/>
      <c r="E26" s="43"/>
      <c r="F26" s="44"/>
      <c r="G26" s="43"/>
      <c r="H26" s="43"/>
      <c r="I26" s="43"/>
      <c r="J26" s="43"/>
      <c r="K26" s="43"/>
      <c r="L26" s="43"/>
      <c r="M26" s="43"/>
      <c r="N26" s="43"/>
      <c r="O26" s="142"/>
      <c r="P26" s="72" t="s">
        <v>897</v>
      </c>
      <c r="Q26" s="53" t="s">
        <v>773</v>
      </c>
      <c r="R26" s="1084">
        <f>SUMIFS(VENTAS!BG:BG,VENTAS!AJ:AJ,W26,VENTAS!BF:BF,"SI")+SUMIFS(VENTAS!BH:BH,VENTAS!AL:AL,W26,VENTAS!BF:BF,"SI")+SUMIFS(VENTAS!BI:BI,VENTAS!AN:AN,W26,VENTAS!BF:BF,"SI")</f>
        <v>0</v>
      </c>
      <c r="S26" s="1084"/>
      <c r="T26" s="1084"/>
      <c r="U26" s="1084"/>
      <c r="V26" s="1084"/>
      <c r="W26" s="40" t="s">
        <v>896</v>
      </c>
      <c r="X26" s="1157">
        <f>SUMIFS(VENTAS!AK:AK,VENTAS!AJ:AJ,W26,VENTAS!BF:BF,"SI")+SUMIFS(VENTAS!AM:AM,VENTAS!AL:AL,W26,VENTAS!BF:BF,"SI")+SUMIFS(VENTAS!AO:AO,VENTAS!AN:AN,W26,VENTAS!BF:BF,"SI")</f>
        <v>0</v>
      </c>
      <c r="Y26" s="1152"/>
      <c r="Z26" s="1152"/>
      <c r="AA26" s="1152"/>
      <c r="AB26" s="1152"/>
      <c r="AC26" s="1152"/>
      <c r="AD26" s="1175"/>
      <c r="AE26" s="1103" t="s">
        <v>753</v>
      </c>
      <c r="AF26" s="1104"/>
      <c r="AG26" s="1104"/>
      <c r="AH26" s="1104"/>
      <c r="AI26" s="1104"/>
      <c r="AJ26" s="1104"/>
      <c r="AK26" s="1105"/>
    </row>
    <row r="27" spans="1:40" ht="18.75" customHeight="1" x14ac:dyDescent="0.35">
      <c r="A27" s="131" t="s">
        <v>2110</v>
      </c>
      <c r="B27" s="15"/>
      <c r="C27" s="15"/>
      <c r="D27" s="15"/>
      <c r="E27" s="15"/>
      <c r="F27" s="41"/>
      <c r="G27" s="15"/>
      <c r="H27" s="15"/>
      <c r="I27" s="15"/>
      <c r="J27" s="15"/>
      <c r="K27" s="15"/>
      <c r="L27" s="15"/>
      <c r="M27" s="15"/>
      <c r="N27" s="15"/>
      <c r="O27" s="15"/>
      <c r="P27" s="1176"/>
      <c r="Q27" s="1177"/>
      <c r="R27" s="1177"/>
      <c r="S27" s="1177"/>
      <c r="T27" s="1177"/>
      <c r="U27" s="1177"/>
      <c r="V27" s="1178"/>
      <c r="W27" s="72" t="s">
        <v>895</v>
      </c>
      <c r="X27" s="1085">
        <f>IF(Y19&lt;0,ABS(Y19),0)+IF(Y20&lt;0,ABS(Y20),0)+IF(Y21&lt;0,ABS(Y21),0)+IF(Y22&lt;0,ABS(Y22),0)+IF(Y23&lt;0,ABS(Y23),0)+IF(Y24&lt;0,ABS(Y24),0)</f>
        <v>0</v>
      </c>
      <c r="Y27" s="1086"/>
      <c r="Z27" s="1086"/>
      <c r="AA27" s="1086"/>
      <c r="AB27" s="1086"/>
      <c r="AC27" s="1086"/>
      <c r="AD27" s="1087"/>
      <c r="AE27" s="1106"/>
      <c r="AF27" s="1107"/>
      <c r="AG27" s="1107"/>
      <c r="AH27" s="1107"/>
      <c r="AI27" s="1107"/>
      <c r="AJ27" s="1107"/>
      <c r="AK27" s="1108"/>
    </row>
    <row r="28" spans="1:40" ht="18.75" customHeight="1" x14ac:dyDescent="0.35">
      <c r="A28" s="131" t="s">
        <v>2111</v>
      </c>
      <c r="B28" s="15"/>
      <c r="C28" s="15"/>
      <c r="D28" s="15"/>
      <c r="E28" s="15"/>
      <c r="F28" s="41"/>
      <c r="G28" s="15"/>
      <c r="H28" s="15"/>
      <c r="I28" s="15"/>
      <c r="J28" s="15"/>
      <c r="K28" s="15"/>
      <c r="L28" s="15"/>
      <c r="M28" s="15"/>
      <c r="N28" s="15"/>
      <c r="O28" s="15"/>
      <c r="P28" s="1106"/>
      <c r="Q28" s="1107"/>
      <c r="R28" s="1107"/>
      <c r="S28" s="1107"/>
      <c r="T28" s="1107"/>
      <c r="U28" s="1107"/>
      <c r="V28" s="1179"/>
      <c r="W28" s="40" t="s">
        <v>894</v>
      </c>
      <c r="X28" s="1084">
        <f>IF(Y13&lt;0,ABS(Y13),0)+IF(Y14&lt;0,ABS(Y14),0)+IF(Y15&lt;0,ABS(Y15),0)</f>
        <v>0</v>
      </c>
      <c r="Y28" s="1084"/>
      <c r="Z28" s="1084"/>
      <c r="AA28" s="1084"/>
      <c r="AB28" s="1084"/>
      <c r="AC28" s="1084"/>
      <c r="AD28" s="1084"/>
      <c r="AE28" s="72" t="s">
        <v>893</v>
      </c>
      <c r="AF28" s="1197">
        <f>IF(X28&gt;0,ABS(AF29-SUMIF(VENTAS!BF:BF,"SI",VENTAS!R:R)+SUMIF(VENTAS!BF:BF,"SI",VENTAS!U:U)+SUMIF(VENTAS!BF:BF,"SI",VENTAS!X:X)),0)</f>
        <v>0</v>
      </c>
      <c r="AG28" s="1198"/>
      <c r="AH28" s="1198"/>
      <c r="AI28" s="1198"/>
      <c r="AJ28" s="1198"/>
      <c r="AK28" s="1199"/>
    </row>
    <row r="29" spans="1:40" ht="18.75" customHeight="1" x14ac:dyDescent="0.35">
      <c r="A29" s="131" t="s">
        <v>2112</v>
      </c>
      <c r="B29" s="15"/>
      <c r="C29" s="15"/>
      <c r="D29" s="15"/>
      <c r="E29" s="15"/>
      <c r="F29" s="41"/>
      <c r="G29" s="15"/>
      <c r="H29" s="15"/>
      <c r="I29" s="15"/>
      <c r="J29" s="15"/>
      <c r="K29" s="15"/>
      <c r="L29" s="15"/>
      <c r="M29" s="15"/>
      <c r="N29" s="15"/>
      <c r="O29" s="130"/>
      <c r="P29" s="72" t="s">
        <v>892</v>
      </c>
      <c r="Q29" s="53" t="s">
        <v>773</v>
      </c>
      <c r="R29" s="1084">
        <f>SUMIFS(VENTAS!BG:BG,VENTAS!AJ:AJ,W29,VENTAS!BF:BF,"SI")+SUMIFS(VENTAS!BH:BH,VENTAS!AL:AL,W29,VENTAS!BF:BF,"SI")+SUMIFS(VENTAS!BI:BI,VENTAS!AN:AN,W29,VENTAS!BF:BF,"SI")</f>
        <v>0</v>
      </c>
      <c r="S29" s="1084"/>
      <c r="T29" s="1084"/>
      <c r="U29" s="1084"/>
      <c r="V29" s="1084"/>
      <c r="W29" s="72" t="s">
        <v>891</v>
      </c>
      <c r="X29" s="1100">
        <f>SUMIFS(VENTAS!AK:AK,VENTAS!AJ:AJ,W29,VENTAS!BF:BF,"SI")+SUMIFS(VENTAS!AM:AM,VENTAS!AL:AL,W29,VENTAS!BF:BF,"SI")+SUMIFS(VENTAS!AO:AO,VENTAS!AN:AN,W29,VENTAS!BF:BF,"SI")</f>
        <v>0</v>
      </c>
      <c r="Y29" s="1101"/>
      <c r="Z29" s="1101"/>
      <c r="AA29" s="1101"/>
      <c r="AB29" s="1101"/>
      <c r="AC29" s="1101"/>
      <c r="AD29" s="1102"/>
      <c r="AE29" s="273" t="s">
        <v>890</v>
      </c>
      <c r="AF29" s="1122">
        <f>SUMIFS(VENTAS!R:R,VENTAS!AJ:AJ,W29,VENTAS!BF:BF,"SI")+SUMIFS(VENTAS!R:R,VENTAS!AL:AL,W29,VENTAS!BF:BF,"SI")+SUMIFS(VENTAS!R:R,VENTAS!AN:AN,W29,VENTAS!BF:BF,"SI")+SUMIFS(VENTAS!U:U,VENTAS!AJ:AJ,W29,VENTAS!BF:BF,"SI")+SUMIFS(VENTAS!U:U,VENTAS!AL:AL,W29,VENTAS!BF:BF,"SI")+SUMIFS(VENTAS!U:U,VENTAS!AN:AN,W29,VENTAS!BF:BF,"SI")+SUMIFS(VENTAS!X:X,VENTAS!AJ:AJ,W29,VENTAS!BF:BF,"SI")+SUMIFS(VENTAS!X:X,VENTAS!AL:AL,W29,VENTAS!BF:BF,"SI")+SUMIFS(VENTAS!X:X,VENTAS!AN:AN,W29,VENTAS!BF:BF,"SI")</f>
        <v>0</v>
      </c>
      <c r="AG29" s="1086"/>
      <c r="AH29" s="1086"/>
      <c r="AI29" s="1086"/>
      <c r="AJ29" s="1086"/>
      <c r="AK29" s="1088"/>
    </row>
    <row r="30" spans="1:40" ht="8.25" customHeight="1" thickBot="1" x14ac:dyDescent="0.4">
      <c r="A30" s="124"/>
      <c r="B30" s="123"/>
      <c r="C30" s="123"/>
      <c r="D30" s="123"/>
      <c r="E30" s="123"/>
      <c r="F30" s="123"/>
      <c r="G30" s="123"/>
      <c r="H30" s="123"/>
      <c r="I30" s="123"/>
      <c r="J30" s="123"/>
      <c r="K30" s="123"/>
      <c r="L30" s="123"/>
      <c r="M30" s="123"/>
      <c r="N30" s="123"/>
      <c r="O30" s="123"/>
      <c r="P30" s="123"/>
      <c r="Q30" s="123"/>
      <c r="R30" s="123"/>
      <c r="S30" s="123"/>
      <c r="T30" s="123"/>
      <c r="U30" s="123"/>
      <c r="V30" s="123"/>
      <c r="W30" s="123"/>
      <c r="X30" s="123"/>
      <c r="Y30" s="123"/>
      <c r="Z30" s="123"/>
      <c r="AA30" s="123"/>
      <c r="AB30" s="123"/>
      <c r="AC30" s="123"/>
      <c r="AD30" s="123"/>
      <c r="AE30" s="123"/>
      <c r="AF30" s="123"/>
      <c r="AG30" s="123"/>
      <c r="AH30" s="123"/>
      <c r="AI30" s="123"/>
      <c r="AJ30" s="123"/>
      <c r="AK30" s="138"/>
    </row>
    <row r="31" spans="1:40" ht="19.5" customHeight="1" thickBot="1" x14ac:dyDescent="0.4">
      <c r="A31" s="114" t="s">
        <v>1308</v>
      </c>
      <c r="B31" s="137"/>
      <c r="C31" s="137"/>
      <c r="D31" s="137"/>
      <c r="E31" s="137"/>
      <c r="F31" s="50"/>
      <c r="G31" s="137"/>
      <c r="H31" s="137"/>
      <c r="I31" s="137"/>
      <c r="J31" s="137"/>
      <c r="K31" s="137"/>
      <c r="L31" s="137"/>
      <c r="M31" s="137"/>
      <c r="N31" s="137"/>
      <c r="O31" s="137"/>
      <c r="P31" s="137"/>
      <c r="Q31" s="137"/>
      <c r="R31" s="137"/>
      <c r="S31" s="137"/>
      <c r="T31" s="137"/>
      <c r="U31" s="137"/>
      <c r="V31" s="137"/>
      <c r="W31" s="137"/>
      <c r="X31" s="137"/>
      <c r="Y31" s="137"/>
      <c r="Z31" s="137"/>
      <c r="AA31" s="137"/>
      <c r="AB31" s="137"/>
      <c r="AC31" s="137"/>
      <c r="AD31" s="137"/>
      <c r="AE31" s="137"/>
      <c r="AF31" s="137"/>
      <c r="AG31" s="137"/>
      <c r="AH31" s="137"/>
      <c r="AI31" s="137"/>
      <c r="AJ31" s="137"/>
      <c r="AK31" s="141"/>
    </row>
    <row r="32" spans="1:40" ht="8.25" customHeight="1" x14ac:dyDescent="0.35">
      <c r="A32" s="23"/>
      <c r="AK32" s="19"/>
    </row>
    <row r="33" spans="1:40" ht="58.5" customHeight="1" x14ac:dyDescent="0.35">
      <c r="A33" s="1196" t="s">
        <v>889</v>
      </c>
      <c r="B33" s="1117"/>
      <c r="C33" s="1117"/>
      <c r="D33" s="1117"/>
      <c r="E33" s="1118"/>
      <c r="F33" s="1116" t="s">
        <v>888</v>
      </c>
      <c r="G33" s="1117"/>
      <c r="H33" s="1117"/>
      <c r="I33" s="1117"/>
      <c r="J33" s="1118"/>
      <c r="K33" s="1116" t="s">
        <v>887</v>
      </c>
      <c r="L33" s="1117"/>
      <c r="M33" s="1117"/>
      <c r="N33" s="1117"/>
      <c r="O33" s="1118"/>
      <c r="P33" s="1116" t="s">
        <v>886</v>
      </c>
      <c r="Q33" s="1193"/>
      <c r="R33" s="1193"/>
      <c r="S33" s="1193"/>
      <c r="T33" s="1193"/>
      <c r="U33" s="1194"/>
      <c r="V33" s="1116" t="s">
        <v>1573</v>
      </c>
      <c r="W33" s="1117"/>
      <c r="X33" s="1117"/>
      <c r="Y33" s="1117"/>
      <c r="Z33" s="1117"/>
      <c r="AA33" s="1118"/>
      <c r="AB33" s="1116" t="s">
        <v>885</v>
      </c>
      <c r="AC33" s="1117"/>
      <c r="AD33" s="1117"/>
      <c r="AE33" s="1117"/>
      <c r="AF33" s="1118"/>
      <c r="AG33" s="1116" t="s">
        <v>884</v>
      </c>
      <c r="AH33" s="1193"/>
      <c r="AI33" s="1193"/>
      <c r="AJ33" s="1193"/>
      <c r="AK33" s="1195"/>
    </row>
    <row r="34" spans="1:40" s="139" customFormat="1" ht="18.75" customHeight="1" x14ac:dyDescent="0.35">
      <c r="A34" s="140">
        <v>480</v>
      </c>
      <c r="B34" s="1119">
        <f>+(Z13+Z14)-G34</f>
        <v>0</v>
      </c>
      <c r="C34" s="1120"/>
      <c r="D34" s="1120"/>
      <c r="E34" s="1121"/>
      <c r="F34" s="140" t="s">
        <v>883</v>
      </c>
      <c r="G34" s="1119">
        <v>0</v>
      </c>
      <c r="H34" s="1120"/>
      <c r="I34" s="1120"/>
      <c r="J34" s="1123"/>
      <c r="K34" s="40" t="s">
        <v>882</v>
      </c>
      <c r="L34" s="1119">
        <f>+AG25</f>
        <v>0</v>
      </c>
      <c r="M34" s="1120"/>
      <c r="N34" s="1120"/>
      <c r="O34" s="1123"/>
      <c r="P34" s="40" t="s">
        <v>881</v>
      </c>
      <c r="Q34" s="1119">
        <v>0</v>
      </c>
      <c r="R34" s="1120"/>
      <c r="S34" s="1120"/>
      <c r="T34" s="1120"/>
      <c r="U34" s="1123"/>
      <c r="V34" s="40" t="s">
        <v>880</v>
      </c>
      <c r="W34" s="1186">
        <f>ROUND(L34,2)</f>
        <v>0</v>
      </c>
      <c r="X34" s="1186"/>
      <c r="Y34" s="1186"/>
      <c r="Z34" s="1186"/>
      <c r="AA34" s="1186"/>
      <c r="AB34" s="40" t="s">
        <v>879</v>
      </c>
      <c r="AC34" s="1186">
        <f>+L34-W34</f>
        <v>0</v>
      </c>
      <c r="AD34" s="1186"/>
      <c r="AE34" s="1186"/>
      <c r="AF34" s="1186"/>
      <c r="AG34" s="40" t="s">
        <v>878</v>
      </c>
      <c r="AH34" s="1186">
        <f>+Q34+W34</f>
        <v>0</v>
      </c>
      <c r="AI34" s="1186"/>
      <c r="AJ34" s="1186"/>
      <c r="AK34" s="1187"/>
    </row>
    <row r="35" spans="1:40" ht="8.25" customHeight="1" x14ac:dyDescent="0.35">
      <c r="A35" s="23"/>
      <c r="AK35" s="19"/>
    </row>
    <row r="36" spans="1:40" ht="20.5" customHeight="1" x14ac:dyDescent="0.35">
      <c r="A36" s="1115" t="s">
        <v>1285</v>
      </c>
      <c r="B36" s="1113"/>
      <c r="C36" s="1113"/>
      <c r="D36" s="1113"/>
      <c r="E36" s="1113"/>
      <c r="F36" s="1113"/>
      <c r="G36" s="1113"/>
      <c r="H36" s="1113"/>
      <c r="I36" s="1113"/>
      <c r="J36" s="1114"/>
      <c r="K36" s="72" t="s">
        <v>1283</v>
      </c>
      <c r="L36" s="1109">
        <f>COUNTIFS(VENTAS!BF:BF,"SI",VENTAS!H:H,"18-Documentos autorizados utilizados en ventas excepto N/C N/D")</f>
        <v>0</v>
      </c>
      <c r="M36" s="1110"/>
      <c r="N36" s="1110"/>
      <c r="O36" s="1111"/>
      <c r="P36" s="1112" t="s">
        <v>1286</v>
      </c>
      <c r="Q36" s="1113"/>
      <c r="R36" s="1113"/>
      <c r="S36" s="1113"/>
      <c r="T36" s="1113"/>
      <c r="U36" s="1113"/>
      <c r="V36" s="1113"/>
      <c r="W36" s="1113"/>
      <c r="X36" s="1113"/>
      <c r="Y36" s="1113"/>
      <c r="Z36" s="1113"/>
      <c r="AA36" s="1114"/>
      <c r="AB36" s="72" t="s">
        <v>1284</v>
      </c>
      <c r="AC36" s="1109">
        <f>IF(COUNTIFS(ANULADOS!I:I,"SI",ANULADOS!A:A,"01-Factura")&gt;0,COUNTIFS(ANULADOS!I:I,"SI",ANULADOS!A:A,"01-Factura"),COUNTIFS(VENTAS!BF:BF,"SI",VENTAS!H:H,"00-Comprobante de ventas anulado"))</f>
        <v>0</v>
      </c>
      <c r="AD36" s="1110"/>
      <c r="AE36" s="1110"/>
      <c r="AF36" s="1111"/>
      <c r="AG36" s="319"/>
      <c r="AK36" s="19"/>
    </row>
    <row r="37" spans="1:40" ht="8.25" customHeight="1" thickBot="1" x14ac:dyDescent="0.4">
      <c r="A37" s="124"/>
      <c r="B37" s="123"/>
      <c r="C37" s="123"/>
      <c r="D37" s="123"/>
      <c r="E37" s="123"/>
      <c r="F37" s="123"/>
      <c r="G37" s="123"/>
      <c r="H37" s="123"/>
      <c r="I37" s="123"/>
      <c r="J37" s="123"/>
      <c r="K37" s="123"/>
      <c r="L37" s="123"/>
      <c r="M37" s="123"/>
      <c r="N37" s="123"/>
      <c r="O37" s="123"/>
      <c r="P37" s="123"/>
      <c r="Q37" s="123"/>
      <c r="R37" s="123"/>
      <c r="S37" s="123"/>
      <c r="T37" s="123"/>
      <c r="U37" s="123"/>
      <c r="V37" s="123"/>
      <c r="W37" s="123"/>
      <c r="X37" s="123"/>
      <c r="Y37" s="123"/>
      <c r="Z37" s="123"/>
      <c r="AA37" s="123"/>
      <c r="AB37" s="123"/>
      <c r="AC37" s="123"/>
      <c r="AD37" s="123"/>
      <c r="AE37" s="123"/>
      <c r="AF37" s="123"/>
      <c r="AG37" s="123"/>
      <c r="AH37" s="123"/>
      <c r="AI37" s="123"/>
      <c r="AJ37" s="123"/>
      <c r="AK37" s="138"/>
    </row>
    <row r="38" spans="1:40" ht="19.5" customHeight="1" thickBot="1" x14ac:dyDescent="0.4">
      <c r="A38" s="114" t="s">
        <v>877</v>
      </c>
      <c r="B38" s="137"/>
      <c r="C38" s="137"/>
      <c r="D38" s="137"/>
      <c r="E38" s="137"/>
      <c r="F38" s="50"/>
      <c r="G38" s="137"/>
      <c r="H38" s="137"/>
      <c r="I38" s="137"/>
      <c r="J38" s="137"/>
      <c r="K38" s="137"/>
      <c r="L38" s="137"/>
      <c r="M38" s="137"/>
      <c r="N38" s="137"/>
      <c r="O38" s="137"/>
      <c r="P38" s="1057" t="s">
        <v>876</v>
      </c>
      <c r="Q38" s="1058"/>
      <c r="R38" s="1058"/>
      <c r="S38" s="1058"/>
      <c r="T38" s="1058"/>
      <c r="U38" s="1058"/>
      <c r="V38" s="1059"/>
      <c r="W38" s="1057" t="s">
        <v>875</v>
      </c>
      <c r="X38" s="1058"/>
      <c r="Y38" s="1058"/>
      <c r="Z38" s="1058"/>
      <c r="AA38" s="1058"/>
      <c r="AB38" s="1058"/>
      <c r="AC38" s="1058"/>
      <c r="AD38" s="1059"/>
      <c r="AE38" s="1057" t="s">
        <v>874</v>
      </c>
      <c r="AF38" s="1058"/>
      <c r="AG38" s="1058"/>
      <c r="AH38" s="1058"/>
      <c r="AI38" s="1058"/>
      <c r="AJ38" s="1058"/>
      <c r="AK38" s="1059"/>
    </row>
    <row r="39" spans="1:40" ht="18.75" customHeight="1" x14ac:dyDescent="0.35">
      <c r="A39" s="575" t="s">
        <v>2116</v>
      </c>
      <c r="B39" s="571"/>
      <c r="C39" s="571"/>
      <c r="D39" s="571"/>
      <c r="E39" s="571"/>
      <c r="F39" s="571"/>
      <c r="G39" s="571"/>
      <c r="H39" s="571"/>
      <c r="I39" s="571"/>
      <c r="J39" s="571"/>
      <c r="K39" s="571"/>
      <c r="L39" s="571"/>
      <c r="M39" s="571"/>
      <c r="N39" s="571"/>
      <c r="O39" s="572"/>
      <c r="P39" s="40" t="s">
        <v>873</v>
      </c>
      <c r="Q39" s="74" t="s">
        <v>773</v>
      </c>
      <c r="R39" s="1183">
        <f>SUMIFS(COMPRAS!DE:DE,COMPRAS!AS:AS,W39,COMPRAS!DC:DC,"SI")+SUMIFS(COMPRAS!DF:DF,COMPRAS!AU:AU,W39,COMPRAS!DC:DC,"SI")+SUMIFS(COMPRAS!DG:DG,COMPRAS!AW:AW,W39,COMPRAS!DC:DC,"SI")</f>
        <v>0</v>
      </c>
      <c r="S39" s="1184"/>
      <c r="T39" s="1184"/>
      <c r="U39" s="1184"/>
      <c r="V39" s="1185"/>
      <c r="W39" s="40" t="s">
        <v>872</v>
      </c>
      <c r="X39" s="74" t="s">
        <v>773</v>
      </c>
      <c r="Y39" s="135">
        <f>SUMIFS(COMPRAS!AT:AT,COMPRAS!AS:AS,W39,COMPRAS!DC:DC,"SI")+SUMIFS(COMPRAS!AV:AV,COMPRAS!AU:AU,W39,COMPRAS!DC:DC,"SI")+SUMIFS(COMPRAS!AX:AX,COMPRAS!AW:AW,W39,COMPRAS!DC:DC,"SI")</f>
        <v>0</v>
      </c>
      <c r="Z39" s="1157">
        <f t="shared" ref="Z39:Z46" si="2">IF(Y39&lt;0,0,Y39)</f>
        <v>0</v>
      </c>
      <c r="AA39" s="1152"/>
      <c r="AB39" s="1152"/>
      <c r="AC39" s="1152"/>
      <c r="AD39" s="1175"/>
      <c r="AE39" s="72" t="s">
        <v>871</v>
      </c>
      <c r="AF39" s="53" t="s">
        <v>773</v>
      </c>
      <c r="AG39" s="1157">
        <f>IF(Z39&gt;0,SUMIFS(COMPRAS!Z:Z,COMPRAS!AS:AS,W39,COMPRAS!DC:DC,"SI")+SUMIFS(COMPRAS!Z:Z,COMPRAS!AU:AU,W39,COMPRAS!DC:DC,"SI")+SUMIFS(COMPRAS!Z:Z,COMPRAS!AW:AW,W39,COMPRAS!DC:DC,"SI"),0)</f>
        <v>0</v>
      </c>
      <c r="AH39" s="1152"/>
      <c r="AI39" s="1152"/>
      <c r="AJ39" s="1152"/>
      <c r="AK39" s="1153"/>
      <c r="AL39" s="136"/>
      <c r="AN39" s="136"/>
    </row>
    <row r="40" spans="1:40" ht="18.75" customHeight="1" x14ac:dyDescent="0.35">
      <c r="A40" s="575" t="s">
        <v>2117</v>
      </c>
      <c r="B40" s="573"/>
      <c r="C40" s="573"/>
      <c r="D40" s="573"/>
      <c r="E40" s="573"/>
      <c r="F40" s="573"/>
      <c r="G40" s="573"/>
      <c r="H40" s="573"/>
      <c r="I40" s="573"/>
      <c r="J40" s="573"/>
      <c r="K40" s="573"/>
      <c r="L40" s="573"/>
      <c r="M40" s="573"/>
      <c r="N40" s="573"/>
      <c r="O40" s="574"/>
      <c r="P40" s="72" t="s">
        <v>870</v>
      </c>
      <c r="Q40" s="53" t="s">
        <v>773</v>
      </c>
      <c r="R40" s="1084">
        <f>SUMIFS(COMPRAS!DE:DE,COMPRAS!AS:AS,W40,COMPRAS!DC:DC,"SI")+SUMIFS(COMPRAS!DF:DF,COMPRAS!AU:AU,W40,COMPRAS!DC:DC,"SI")+SUMIFS(COMPRAS!DG:DG,COMPRAS!AW:AW,W40,COMPRAS!DC:DC,"SI")</f>
        <v>0</v>
      </c>
      <c r="S40" s="1084"/>
      <c r="T40" s="1084"/>
      <c r="U40" s="1084"/>
      <c r="V40" s="1084"/>
      <c r="W40" s="72" t="s">
        <v>869</v>
      </c>
      <c r="X40" s="53" t="s">
        <v>773</v>
      </c>
      <c r="Y40" s="135">
        <f>SUMIFS(COMPRAS!AT:AT,COMPRAS!AS:AS,W40,COMPRAS!DC:DC,"SI")+SUMIFS(COMPRAS!AV:AV,COMPRAS!AU:AU,W40,COMPRAS!DC:DC,"SI")+SUMIFS(COMPRAS!AX:AX,COMPRAS!AW:AW,W40,COMPRAS!DC:DC,"SI")</f>
        <v>0</v>
      </c>
      <c r="Z40" s="1085">
        <f t="shared" si="2"/>
        <v>0</v>
      </c>
      <c r="AA40" s="1086"/>
      <c r="AB40" s="1086"/>
      <c r="AC40" s="1086"/>
      <c r="AD40" s="1087"/>
      <c r="AE40" s="72" t="s">
        <v>868</v>
      </c>
      <c r="AF40" s="53" t="s">
        <v>773</v>
      </c>
      <c r="AG40" s="1085">
        <f>IF(Z40&gt;0,SUMIFS(COMPRAS!Z:Z,COMPRAS!AS:AS,W40,COMPRAS!DC:DC,"SI")+SUMIFS(COMPRAS!Z:Z,COMPRAS!AU:AU,W40,COMPRAS!DC:DC,"SI")+SUMIFS(COMPRAS!Z:Z,COMPRAS!AW:AW,W40,COMPRAS!DC:DC,"SI"),0)</f>
        <v>0</v>
      </c>
      <c r="AH40" s="1086"/>
      <c r="AI40" s="1086"/>
      <c r="AJ40" s="1086"/>
      <c r="AK40" s="1088"/>
      <c r="AL40" s="136"/>
    </row>
    <row r="41" spans="1:40" ht="18.75" customHeight="1" x14ac:dyDescent="0.35">
      <c r="A41" s="575" t="s">
        <v>2395</v>
      </c>
      <c r="B41" s="573"/>
      <c r="C41" s="573"/>
      <c r="D41" s="573"/>
      <c r="E41" s="573"/>
      <c r="F41" s="573"/>
      <c r="G41" s="573"/>
      <c r="H41" s="573"/>
      <c r="I41" s="573"/>
      <c r="J41" s="573"/>
      <c r="K41" s="573"/>
      <c r="L41" s="573"/>
      <c r="M41" s="573"/>
      <c r="N41" s="573"/>
      <c r="O41" s="574"/>
      <c r="P41" s="72" t="s">
        <v>2113</v>
      </c>
      <c r="Q41" s="53" t="s">
        <v>773</v>
      </c>
      <c r="R41" s="1084">
        <f>SUMIFS(COMPRAS!DE:DE,COMPRAS!AS:AS,W41,COMPRAS!DC:DC,"SI")+SUMIFS(COMPRAS!DF:DF,COMPRAS!AU:AU,W41,COMPRAS!DC:DC,"SI")+SUMIFS(COMPRAS!DG:DG,COMPRAS!AW:AW,W41,COMPRAS!DC:DC,"SI")</f>
        <v>0</v>
      </c>
      <c r="S41" s="1084"/>
      <c r="T41" s="1084"/>
      <c r="U41" s="1084"/>
      <c r="V41" s="1084"/>
      <c r="W41" s="72" t="s">
        <v>2114</v>
      </c>
      <c r="X41" s="53" t="s">
        <v>773</v>
      </c>
      <c r="Y41" s="135">
        <f>SUMIFS(COMPRAS!AT:AT,COMPRAS!AS:AS,W41,COMPRAS!DC:DC,"SI")+SUMIFS(COMPRAS!AV:AV,COMPRAS!AU:AU,W41,COMPRAS!DC:DC,"SI")+SUMIFS(COMPRAS!AX:AX,COMPRAS!AW:AW,W41,COMPRAS!DC:DC,"SI")</f>
        <v>0</v>
      </c>
      <c r="Z41" s="1085">
        <f t="shared" ref="Z41" si="3">IF(Y41&lt;0,0,Y41)</f>
        <v>0</v>
      </c>
      <c r="AA41" s="1086"/>
      <c r="AB41" s="1086"/>
      <c r="AC41" s="1086"/>
      <c r="AD41" s="1087"/>
      <c r="AE41" s="72" t="s">
        <v>2115</v>
      </c>
      <c r="AF41" s="53" t="s">
        <v>773</v>
      </c>
      <c r="AG41" s="1085">
        <f>IF(Z41&gt;0,SUMIFS(COMPRAS!AF:AF,COMPRAS!AS:AS,W41,COMPRAS!DC:DC,"SI")+SUMIFS(COMPRAS!AF:AF,COMPRAS!AU:AU,W41,COMPRAS!DC:DC,"SI")+SUMIFS(COMPRAS!AF:AF,COMPRAS!AW:AW,W41,COMPRAS!DC:DC,"SI"),0)</f>
        <v>0</v>
      </c>
      <c r="AH41" s="1086"/>
      <c r="AI41" s="1086"/>
      <c r="AJ41" s="1086"/>
      <c r="AK41" s="1088"/>
      <c r="AL41" s="136"/>
    </row>
    <row r="42" spans="1:40" ht="18.75" customHeight="1" x14ac:dyDescent="0.35">
      <c r="A42" s="575" t="s">
        <v>2382</v>
      </c>
      <c r="B42" s="573"/>
      <c r="C42" s="573"/>
      <c r="D42" s="573"/>
      <c r="E42" s="573"/>
      <c r="F42" s="573"/>
      <c r="G42" s="573"/>
      <c r="H42" s="573"/>
      <c r="I42" s="573"/>
      <c r="J42" s="573"/>
      <c r="K42" s="573"/>
      <c r="L42" s="573"/>
      <c r="M42" s="573"/>
      <c r="N42" s="573"/>
      <c r="O42" s="574"/>
      <c r="P42" s="72" t="s">
        <v>2348</v>
      </c>
      <c r="Q42" s="53" t="s">
        <v>773</v>
      </c>
      <c r="R42" s="1084">
        <f>SUMIFS(COMPRAS!DE:DE,COMPRAS!AS:AS,W42,COMPRAS!DC:DC,"SI")+SUMIFS(COMPRAS!DF:DF,COMPRAS!AU:AU,W42,COMPRAS!DC:DC,"SI")+SUMIFS(COMPRAS!DG:DG,COMPRAS!AW:AW,W42,COMPRAS!DC:DC,"SI")</f>
        <v>0</v>
      </c>
      <c r="S42" s="1084"/>
      <c r="T42" s="1084"/>
      <c r="U42" s="1084"/>
      <c r="V42" s="1084"/>
      <c r="W42" s="72" t="s">
        <v>2349</v>
      </c>
      <c r="X42" s="53" t="s">
        <v>773</v>
      </c>
      <c r="Y42" s="135">
        <f>SUMIFS(COMPRAS!AT:AT,COMPRAS!AS:AS,W42,COMPRAS!DC:DC,"SI")+SUMIFS(COMPRAS!AV:AV,COMPRAS!AU:AU,W42,COMPRAS!DC:DC,"SI")+SUMIFS(COMPRAS!AX:AX,COMPRAS!AW:AW,W42,COMPRAS!DC:DC,"SI")</f>
        <v>0</v>
      </c>
      <c r="Z42" s="1085">
        <f t="shared" ref="Z42" si="4">IF(Y42&lt;0,0,Y42)</f>
        <v>0</v>
      </c>
      <c r="AA42" s="1086"/>
      <c r="AB42" s="1086"/>
      <c r="AC42" s="1086"/>
      <c r="AD42" s="1087"/>
      <c r="AE42" s="72" t="s">
        <v>2350</v>
      </c>
      <c r="AF42" s="53" t="s">
        <v>773</v>
      </c>
      <c r="AG42" s="1085">
        <f>IF(Z42&gt;0,SUMIFS(COMPRAS!AC:AC,COMPRAS!AS:AS,W42,COMPRAS!DC:DC,"SI")+SUMIFS(COMPRAS!AC:AC,COMPRAS!AU:AU,W42,COMPRAS!DC:DC,"SI")+SUMIFS(COMPRAS!AC:AC,COMPRAS!AW:AW,W42,COMPRAS!DC:DC,"SI"),0)</f>
        <v>0</v>
      </c>
      <c r="AH42" s="1086"/>
      <c r="AI42" s="1086"/>
      <c r="AJ42" s="1086"/>
      <c r="AK42" s="1088"/>
      <c r="AL42" s="136"/>
    </row>
    <row r="43" spans="1:40" ht="18.75" customHeight="1" x14ac:dyDescent="0.35">
      <c r="A43" s="575" t="s">
        <v>2118</v>
      </c>
      <c r="B43" s="576"/>
      <c r="C43" s="576"/>
      <c r="D43" s="576"/>
      <c r="E43" s="576"/>
      <c r="F43" s="576"/>
      <c r="G43" s="576"/>
      <c r="H43" s="576"/>
      <c r="I43" s="576"/>
      <c r="J43" s="576"/>
      <c r="K43" s="576"/>
      <c r="L43" s="576"/>
      <c r="M43" s="576"/>
      <c r="N43" s="576"/>
      <c r="O43" s="577"/>
      <c r="P43" s="40" t="s">
        <v>867</v>
      </c>
      <c r="Q43" s="53" t="s">
        <v>773</v>
      </c>
      <c r="R43" s="1084">
        <f>SUMIFS(COMPRAS!DE:DE,COMPRAS!AS:AS,W43,COMPRAS!DC:DC,"SI")+SUMIFS(COMPRAS!DF:DF,COMPRAS!AU:AU,W43,COMPRAS!DC:DC,"SI")+SUMIFS(COMPRAS!DG:DG,COMPRAS!AW:AW,W43,COMPRAS!DC:DC,"SI")</f>
        <v>0</v>
      </c>
      <c r="S43" s="1084"/>
      <c r="T43" s="1084"/>
      <c r="U43" s="1084"/>
      <c r="V43" s="1084"/>
      <c r="W43" s="40" t="s">
        <v>866</v>
      </c>
      <c r="X43" s="53" t="s">
        <v>773</v>
      </c>
      <c r="Y43" s="135">
        <f>SUMIFS(COMPRAS!AT:AT,COMPRAS!AS:AS,W43,COMPRAS!DC:DC,"SI")+SUMIFS(COMPRAS!AV:AV,COMPRAS!AU:AU,W43,COMPRAS!DC:DC,"SI")+SUMIFS(COMPRAS!AX:AX,COMPRAS!AW:AW,W43,COMPRAS!DC:DC,"SI")</f>
        <v>0</v>
      </c>
      <c r="Z43" s="1085">
        <f t="shared" si="2"/>
        <v>0</v>
      </c>
      <c r="AA43" s="1086"/>
      <c r="AB43" s="1086"/>
      <c r="AC43" s="1086"/>
      <c r="AD43" s="1087"/>
      <c r="AE43" s="72" t="s">
        <v>865</v>
      </c>
      <c r="AF43" s="53" t="s">
        <v>773</v>
      </c>
      <c r="AG43" s="1085">
        <f>IF(Z43&gt;0,SUMIFS(COMPRAS!DJ:DJ,COMPRAS!AS:AS,W43,COMPRAS!DC:DC,"SI")+SUMIFS(COMPRAS!DJ:DJ,COMPRAS!AU:AU,W43,COMPRAS!DC:DC,"SI")+SUMIFS(COMPRAS!DJ:DJ,COMPRAS!AW:AW,W43,COMPRAS!DC:DC,"SI"),0)</f>
        <v>0</v>
      </c>
      <c r="AH43" s="1086"/>
      <c r="AI43" s="1086"/>
      <c r="AJ43" s="1086"/>
      <c r="AK43" s="1088"/>
      <c r="AL43" s="95"/>
    </row>
    <row r="44" spans="1:40" ht="18.75" customHeight="1" x14ac:dyDescent="0.35">
      <c r="A44" s="575" t="s">
        <v>2119</v>
      </c>
      <c r="B44" s="576"/>
      <c r="C44" s="576"/>
      <c r="D44" s="576"/>
      <c r="E44" s="576"/>
      <c r="F44" s="576"/>
      <c r="G44" s="576"/>
      <c r="H44" s="576"/>
      <c r="I44" s="576"/>
      <c r="J44" s="576"/>
      <c r="K44" s="576"/>
      <c r="L44" s="576"/>
      <c r="M44" s="576"/>
      <c r="N44" s="576"/>
      <c r="O44" s="577"/>
      <c r="P44" s="72" t="s">
        <v>864</v>
      </c>
      <c r="Q44" s="53" t="s">
        <v>773</v>
      </c>
      <c r="R44" s="1084">
        <f>SUMIFS(COMPRAS!DE:DE,COMPRAS!AS:AS,W44,COMPRAS!DC:DC,"SI")+SUMIFS(COMPRAS!DF:DF,COMPRAS!AU:AU,W44,COMPRAS!DC:DC,"SI")+SUMIFS(COMPRAS!DG:DG,COMPRAS!AW:AW,W44,COMPRAS!DC:DC,"SI")</f>
        <v>0</v>
      </c>
      <c r="S44" s="1084"/>
      <c r="T44" s="1084"/>
      <c r="U44" s="1084"/>
      <c r="V44" s="1084"/>
      <c r="W44" s="72" t="s">
        <v>863</v>
      </c>
      <c r="X44" s="53" t="s">
        <v>773</v>
      </c>
      <c r="Y44" s="135">
        <f>SUMIFS(COMPRAS!AT:AT,COMPRAS!AS:AS,W44,COMPRAS!DC:DC,"SI")+SUMIFS(COMPRAS!AV:AV,COMPRAS!AU:AU,W44,COMPRAS!DC:DC,"SI")+SUMIFS(COMPRAS!AX:AX,COMPRAS!AW:AW,W44,COMPRAS!DC:DC,"SI")</f>
        <v>0</v>
      </c>
      <c r="Z44" s="1085">
        <f t="shared" si="2"/>
        <v>0</v>
      </c>
      <c r="AA44" s="1086"/>
      <c r="AB44" s="1086"/>
      <c r="AC44" s="1086"/>
      <c r="AD44" s="1087"/>
      <c r="AE44" s="72" t="s">
        <v>862</v>
      </c>
      <c r="AF44" s="53" t="s">
        <v>773</v>
      </c>
      <c r="AG44" s="1085">
        <f>IF(Z44&gt;0,SUMIFS(COMPRAS!Z:Z,COMPRAS!AS:AS,W44,COMPRAS!DC:DC,"SI")+SUMIFS(COMPRAS!Z:Z,COMPRAS!AU:AU,W44,COMPRAS!DC:DC,"SI")+SUMIFS(COMPRAS!Z:Z,COMPRAS!AW:AW,W44,COMPRAS!DC:DC,"SI"),0)</f>
        <v>0</v>
      </c>
      <c r="AH44" s="1086"/>
      <c r="AI44" s="1086"/>
      <c r="AJ44" s="1086"/>
      <c r="AK44" s="1088"/>
      <c r="AL44" s="95"/>
    </row>
    <row r="45" spans="1:40" ht="18.75" customHeight="1" x14ac:dyDescent="0.35">
      <c r="A45" s="575" t="s">
        <v>2120</v>
      </c>
      <c r="B45" s="576"/>
      <c r="C45" s="576"/>
      <c r="D45" s="576"/>
      <c r="E45" s="576"/>
      <c r="F45" s="576"/>
      <c r="G45" s="576"/>
      <c r="H45" s="576"/>
      <c r="I45" s="576"/>
      <c r="J45" s="576"/>
      <c r="K45" s="576"/>
      <c r="L45" s="576"/>
      <c r="M45" s="576"/>
      <c r="N45" s="576"/>
      <c r="O45" s="577"/>
      <c r="P45" s="72" t="s">
        <v>861</v>
      </c>
      <c r="Q45" s="53" t="s">
        <v>773</v>
      </c>
      <c r="R45" s="1084">
        <f>SUMIFS(COMPRAS!DE:DE,COMPRAS!AS:AS,W45,COMPRAS!DC:DC,"SI")+SUMIFS(COMPRAS!DF:DF,COMPRAS!AU:AU,W45,COMPRAS!DC:DC,"SI")+SUMIFS(COMPRAS!DG:DG,COMPRAS!AW:AW,W45,COMPRAS!DC:DC,"SI")</f>
        <v>0</v>
      </c>
      <c r="S45" s="1084"/>
      <c r="T45" s="1084"/>
      <c r="U45" s="1084"/>
      <c r="V45" s="1084"/>
      <c r="W45" s="72" t="s">
        <v>860</v>
      </c>
      <c r="X45" s="53" t="s">
        <v>773</v>
      </c>
      <c r="Y45" s="135">
        <f>SUMIFS(COMPRAS!AT:AT,COMPRAS!AS:AS,W45,COMPRAS!DC:DC,"SI")+SUMIFS(COMPRAS!AV:AV,COMPRAS!AU:AU,W45,COMPRAS!DC:DC,"SI")+SUMIFS(COMPRAS!AX:AX,COMPRAS!AW:AW,W45,COMPRAS!DC:DC,"SI")</f>
        <v>0</v>
      </c>
      <c r="Z45" s="1085">
        <f t="shared" si="2"/>
        <v>0</v>
      </c>
      <c r="AA45" s="1086"/>
      <c r="AB45" s="1086"/>
      <c r="AC45" s="1086"/>
      <c r="AD45" s="1087"/>
      <c r="AE45" s="72" t="s">
        <v>859</v>
      </c>
      <c r="AF45" s="53" t="s">
        <v>773</v>
      </c>
      <c r="AG45" s="1085">
        <f>IF(Z45&gt;0,SUMIFS(COMPRAS!Z:Z,COMPRAS!AS:AS,W45,COMPRAS!DC:DC,"SI")+SUMIFS(COMPRAS!Z:Z,COMPRAS!AU:AU,W45,COMPRAS!DC:DC,"SI")+SUMIFS(COMPRAS!Z:Z,COMPRAS!AW:AW,W45,COMPRAS!DC:DC,"SI"),0)</f>
        <v>0</v>
      </c>
      <c r="AH45" s="1086"/>
      <c r="AI45" s="1086"/>
      <c r="AJ45" s="1086"/>
      <c r="AK45" s="1088"/>
      <c r="AL45" s="95"/>
    </row>
    <row r="46" spans="1:40" ht="18.75" customHeight="1" x14ac:dyDescent="0.35">
      <c r="A46" s="131" t="s">
        <v>2121</v>
      </c>
      <c r="B46" s="76"/>
      <c r="C46" s="76"/>
      <c r="D46" s="76"/>
      <c r="E46" s="76"/>
      <c r="F46" s="76"/>
      <c r="G46" s="76"/>
      <c r="H46" s="76"/>
      <c r="I46" s="76"/>
      <c r="J46" s="76"/>
      <c r="K46" s="76"/>
      <c r="L46" s="76"/>
      <c r="M46" s="76"/>
      <c r="N46" s="76"/>
      <c r="O46" s="134"/>
      <c r="P46" s="40" t="s">
        <v>858</v>
      </c>
      <c r="Q46" s="74" t="s">
        <v>773</v>
      </c>
      <c r="R46" s="1084">
        <f>SUMIFS(COMPRAS!DE:DE,COMPRAS!AS:AS,W46,COMPRAS!DC:DC,"SI")+SUMIFS(COMPRAS!DF:DF,COMPRAS!AU:AU,W46,COMPRAS!DC:DC,"SI")+SUMIFS(COMPRAS!DG:DG,COMPRAS!AW:AW,W46,COMPRAS!DC:DC,"SI")</f>
        <v>0</v>
      </c>
      <c r="S46" s="1084"/>
      <c r="T46" s="1084"/>
      <c r="U46" s="1084"/>
      <c r="V46" s="1084"/>
      <c r="W46" s="40" t="s">
        <v>857</v>
      </c>
      <c r="X46" s="74" t="s">
        <v>773</v>
      </c>
      <c r="Y46" s="135">
        <f>SUMIFS(COMPRAS!AT:AT,COMPRAS!AS:AS,W46,COMPRAS!DC:DC,"SI")+SUMIFS(COMPRAS!AV:AV,COMPRAS!AU:AU,W46,COMPRAS!DC:DC,"SI")+SUMIFS(COMPRAS!AX:AX,COMPRAS!AW:AW,W46,COMPRAS!DC:DC,"SI")</f>
        <v>0</v>
      </c>
      <c r="Z46" s="1085">
        <f t="shared" si="2"/>
        <v>0</v>
      </c>
      <c r="AA46" s="1086"/>
      <c r="AB46" s="1086"/>
      <c r="AC46" s="1086"/>
      <c r="AD46" s="1087"/>
      <c r="AE46" s="72" t="s">
        <v>856</v>
      </c>
      <c r="AF46" s="53" t="s">
        <v>773</v>
      </c>
      <c r="AG46" s="1100">
        <f>IF(Z46&gt;0,SUMIFS(COMPRAS!Z:Z,COMPRAS!AS:AS,W46,COMPRAS!DC:DC,"SI")+SUMIFS(COMPRAS!Z:Z,COMPRAS!AU:AU,W46,COMPRAS!DC:DC,"SI")+SUMIFS(COMPRAS!Z:Z,COMPRAS!AW:AW,W46,COMPRAS!DC:DC,"SI"),0)</f>
        <v>0</v>
      </c>
      <c r="AH46" s="1101"/>
      <c r="AI46" s="1101"/>
      <c r="AJ46" s="1101"/>
      <c r="AK46" s="1212"/>
      <c r="AL46" s="95"/>
    </row>
    <row r="47" spans="1:40" ht="18.649999999999999" customHeight="1" x14ac:dyDescent="0.35">
      <c r="A47" s="41" t="s">
        <v>2122</v>
      </c>
      <c r="B47" s="15"/>
      <c r="C47" s="15"/>
      <c r="D47" s="15"/>
      <c r="E47" s="15"/>
      <c r="F47" s="15"/>
      <c r="G47" s="15"/>
      <c r="H47" s="15"/>
      <c r="I47" s="15"/>
      <c r="J47" s="15"/>
      <c r="K47" s="15"/>
      <c r="L47" s="15"/>
      <c r="M47" s="15"/>
      <c r="N47" s="15"/>
      <c r="O47" s="130"/>
      <c r="P47" s="128"/>
      <c r="Q47" s="127"/>
      <c r="R47" s="127"/>
      <c r="S47" s="127"/>
      <c r="T47" s="127"/>
      <c r="U47" s="127"/>
      <c r="V47" s="126"/>
      <c r="W47" s="128"/>
      <c r="X47" s="127"/>
      <c r="Y47" s="127"/>
      <c r="Z47" s="127"/>
      <c r="AA47" s="127"/>
      <c r="AB47" s="127"/>
      <c r="AC47" s="127"/>
      <c r="AD47" s="126"/>
      <c r="AE47" s="36" t="s">
        <v>855</v>
      </c>
      <c r="AF47" s="51" t="s">
        <v>773</v>
      </c>
      <c r="AG47" s="1124">
        <v>0</v>
      </c>
      <c r="AH47" s="1125"/>
      <c r="AI47" s="1125"/>
      <c r="AJ47" s="1125"/>
      <c r="AK47" s="1126"/>
      <c r="AL47" s="75"/>
    </row>
    <row r="48" spans="1:40" ht="17.5" x14ac:dyDescent="0.35">
      <c r="A48" s="41" t="s">
        <v>2123</v>
      </c>
      <c r="B48" s="15"/>
      <c r="C48" s="15"/>
      <c r="D48" s="15"/>
      <c r="E48" s="15"/>
      <c r="F48" s="15"/>
      <c r="G48" s="15"/>
      <c r="H48" s="15"/>
      <c r="I48" s="15"/>
      <c r="J48" s="15"/>
      <c r="K48" s="15"/>
      <c r="L48" s="15"/>
      <c r="M48" s="15"/>
      <c r="N48" s="15"/>
      <c r="O48" s="130"/>
      <c r="P48" s="128"/>
      <c r="Q48" s="127"/>
      <c r="R48" s="127"/>
      <c r="S48" s="127"/>
      <c r="T48" s="127"/>
      <c r="U48" s="127"/>
      <c r="V48" s="126"/>
      <c r="W48" s="128"/>
      <c r="X48" s="127"/>
      <c r="Y48" s="127"/>
      <c r="Z48" s="127"/>
      <c r="AA48" s="127"/>
      <c r="AB48" s="127"/>
      <c r="AC48" s="127"/>
      <c r="AD48" s="126"/>
      <c r="AE48" s="36" t="s">
        <v>1042</v>
      </c>
      <c r="AF48" s="51" t="s">
        <v>773</v>
      </c>
      <c r="AG48" s="1124">
        <v>0</v>
      </c>
      <c r="AH48" s="1125"/>
      <c r="AI48" s="1125"/>
      <c r="AJ48" s="1125"/>
      <c r="AK48" s="1126"/>
    </row>
    <row r="49" spans="1:38" ht="18.75" customHeight="1" x14ac:dyDescent="0.35">
      <c r="A49" s="131" t="s">
        <v>2124</v>
      </c>
      <c r="B49" s="76"/>
      <c r="C49" s="76"/>
      <c r="D49" s="76"/>
      <c r="E49" s="76"/>
      <c r="F49" s="76"/>
      <c r="G49" s="76"/>
      <c r="H49" s="76"/>
      <c r="I49" s="76"/>
      <c r="J49" s="76"/>
      <c r="K49" s="76"/>
      <c r="L49" s="76"/>
      <c r="M49" s="76"/>
      <c r="N49" s="76"/>
      <c r="O49" s="134"/>
      <c r="P49" s="72" t="s">
        <v>854</v>
      </c>
      <c r="Q49" s="53" t="s">
        <v>773</v>
      </c>
      <c r="R49" s="1084">
        <f>SUMIFS(COMPRAS!DE:DE,COMPRAS!AS:AS,W49,COMPRAS!DC:DC,"SI")+SUMIFS(COMPRAS!DF:DF,COMPRAS!AU:AU,W49,COMPRAS!DC:DC,"SI")+SUMIFS(COMPRAS!DG:DG,COMPRAS!AW:AW,W49,COMPRAS!DC:DC,"SI")</f>
        <v>0</v>
      </c>
      <c r="S49" s="1084"/>
      <c r="T49" s="1084"/>
      <c r="U49" s="1084"/>
      <c r="V49" s="1084"/>
      <c r="W49" s="72" t="s">
        <v>853</v>
      </c>
      <c r="X49" s="53" t="s">
        <v>773</v>
      </c>
      <c r="Y49" s="280">
        <f>SUMIFS(COMPRAS!AT:AT,COMPRAS!AS:AS,W49,COMPRAS!DC:DC,"SI")+SUMIFS(COMPRAS!AV:AV,COMPRAS!AU:AU,W49,COMPRAS!DC:DC,"SI")+SUMIFS(COMPRAS!AX:AX,COMPRAS!AW:AW,W49,COMPRAS!DC:DC,"SI")</f>
        <v>0</v>
      </c>
      <c r="Z49" s="1085">
        <f>IF(Y49&lt;0,0,Y49)</f>
        <v>0</v>
      </c>
      <c r="AA49" s="1086"/>
      <c r="AB49" s="1086"/>
      <c r="AC49" s="1086"/>
      <c r="AD49" s="1087"/>
      <c r="AE49" s="1166" t="s">
        <v>753</v>
      </c>
      <c r="AF49" s="1167"/>
      <c r="AG49" s="1167"/>
      <c r="AH49" s="1167"/>
      <c r="AI49" s="1167"/>
      <c r="AJ49" s="1167"/>
      <c r="AK49" s="1168"/>
    </row>
    <row r="50" spans="1:38" ht="18.75" customHeight="1" x14ac:dyDescent="0.35">
      <c r="A50" s="129" t="s">
        <v>2125</v>
      </c>
      <c r="B50" s="76"/>
      <c r="C50" s="76"/>
      <c r="D50" s="76"/>
      <c r="E50" s="76"/>
      <c r="F50" s="76"/>
      <c r="G50" s="76"/>
      <c r="H50" s="76"/>
      <c r="I50" s="76"/>
      <c r="J50" s="76"/>
      <c r="K50" s="76"/>
      <c r="L50" s="76"/>
      <c r="M50" s="76"/>
      <c r="N50" s="76"/>
      <c r="O50" s="134"/>
      <c r="P50" s="40" t="s">
        <v>852</v>
      </c>
      <c r="Q50" s="53" t="s">
        <v>773</v>
      </c>
      <c r="R50" s="1084">
        <f>SUMIFS(COMPRAS!DE:DE,COMPRAS!AS:AS,W50,COMPRAS!DC:DC,"SI")+SUMIFS(COMPRAS!DF:DF,COMPRAS!AU:AU,W50,COMPRAS!DC:DC,"SI")+SUMIFS(COMPRAS!DG:DG,COMPRAS!AW:AW,W50,COMPRAS!DC:DC,"SI")</f>
        <v>0</v>
      </c>
      <c r="S50" s="1084"/>
      <c r="T50" s="1084"/>
      <c r="U50" s="1084"/>
      <c r="V50" s="1084"/>
      <c r="W50" s="40" t="s">
        <v>851</v>
      </c>
      <c r="X50" s="53" t="s">
        <v>773</v>
      </c>
      <c r="Y50" s="280">
        <f>SUMIFS(COMPRAS!AT:AT,COMPRAS!AS:AS,W50,COMPRAS!DC:DC,"SI")+SUMIFS(COMPRAS!AV:AV,COMPRAS!AU:AU,W50,COMPRAS!DC:DC,"SI")+SUMIFS(COMPRAS!AX:AX,COMPRAS!AW:AW,W50,COMPRAS!DC:DC,"SI")</f>
        <v>0</v>
      </c>
      <c r="Z50" s="1085">
        <f>IF(Y50&lt;0,0,Y50)</f>
        <v>0</v>
      </c>
      <c r="AA50" s="1086"/>
      <c r="AB50" s="1086"/>
      <c r="AC50" s="1086"/>
      <c r="AD50" s="1087"/>
      <c r="AE50" s="1169"/>
      <c r="AF50" s="1170"/>
      <c r="AG50" s="1170"/>
      <c r="AH50" s="1170"/>
      <c r="AI50" s="1170"/>
      <c r="AJ50" s="1170"/>
      <c r="AK50" s="1171"/>
    </row>
    <row r="51" spans="1:38" ht="18.75" customHeight="1" thickBot="1" x14ac:dyDescent="0.4">
      <c r="A51" s="131" t="s">
        <v>2126</v>
      </c>
      <c r="B51" s="15"/>
      <c r="C51" s="15"/>
      <c r="D51" s="15"/>
      <c r="E51" s="15"/>
      <c r="F51" s="41"/>
      <c r="G51" s="15"/>
      <c r="H51" s="15"/>
      <c r="I51" s="15"/>
      <c r="J51" s="15"/>
      <c r="K51" s="15"/>
      <c r="L51" s="15"/>
      <c r="M51" s="15"/>
      <c r="N51" s="15"/>
      <c r="O51" s="130"/>
      <c r="P51" s="40" t="s">
        <v>850</v>
      </c>
      <c r="Q51" s="53" t="s">
        <v>773</v>
      </c>
      <c r="R51" s="1221">
        <f>SUMIFS(COMPRAS!DE:DE,COMPRAS!AS:AS,W51,COMPRAS!DC:DC,"SI")+SUMIFS(COMPRAS!DF:DF,COMPRAS!AU:AU,W51,COMPRAS!DC:DC,"SI")+SUMIFS(COMPRAS!DG:DG,COMPRAS!AW:AW,W51,COMPRAS!DC:DC,"SI")</f>
        <v>0</v>
      </c>
      <c r="S51" s="1222"/>
      <c r="T51" s="1222"/>
      <c r="U51" s="1222"/>
      <c r="V51" s="1223"/>
      <c r="W51" s="72" t="s">
        <v>849</v>
      </c>
      <c r="X51" s="74" t="s">
        <v>773</v>
      </c>
      <c r="Y51" s="135">
        <f>SUMIFS(COMPRAS!AT:AT,COMPRAS!AS:AS,W51,COMPRAS!DC:DC,"SI")+SUMIFS(COMPRAS!AV:AV,COMPRAS!AU:AU,W51,COMPRAS!DC:DC,"SI")+SUMIFS(COMPRAS!AX:AX,COMPRAS!AW:AW,W51,COMPRAS!DC:DC,"SI")</f>
        <v>0</v>
      </c>
      <c r="Z51" s="1097">
        <f>IF(Y51&lt;0,0,Y51)</f>
        <v>0</v>
      </c>
      <c r="AA51" s="1098"/>
      <c r="AB51" s="1098"/>
      <c r="AC51" s="1098"/>
      <c r="AD51" s="1099"/>
      <c r="AE51" s="1172"/>
      <c r="AF51" s="1173"/>
      <c r="AG51" s="1173"/>
      <c r="AH51" s="1173"/>
      <c r="AI51" s="1173"/>
      <c r="AJ51" s="1173"/>
      <c r="AK51" s="1174"/>
    </row>
    <row r="52" spans="1:38" ht="18.75" customHeight="1" thickBot="1" x14ac:dyDescent="0.4">
      <c r="A52" s="71" t="s">
        <v>848</v>
      </c>
      <c r="B52" s="33"/>
      <c r="C52" s="33"/>
      <c r="D52" s="33"/>
      <c r="E52" s="33"/>
      <c r="F52" s="34"/>
      <c r="G52" s="33"/>
      <c r="H52" s="33"/>
      <c r="I52" s="33"/>
      <c r="J52" s="33"/>
      <c r="K52" s="33"/>
      <c r="L52" s="33"/>
      <c r="M52" s="33"/>
      <c r="N52" s="33"/>
      <c r="O52" s="133"/>
      <c r="P52" s="59" t="s">
        <v>847</v>
      </c>
      <c r="Q52" s="281" t="s">
        <v>771</v>
      </c>
      <c r="R52" s="1217">
        <f>SUM(R39:V51)</f>
        <v>0</v>
      </c>
      <c r="S52" s="1095"/>
      <c r="T52" s="1095"/>
      <c r="U52" s="1095"/>
      <c r="V52" s="1130"/>
      <c r="W52" s="282" t="s">
        <v>846</v>
      </c>
      <c r="X52" s="58" t="s">
        <v>771</v>
      </c>
      <c r="Y52" s="132">
        <f>+Z52+X53+X55+X56+X57</f>
        <v>0</v>
      </c>
      <c r="Z52" s="1094">
        <f>SUM(Z39:AD51)</f>
        <v>0</v>
      </c>
      <c r="AA52" s="1095"/>
      <c r="AB52" s="1095"/>
      <c r="AC52" s="1095"/>
      <c r="AD52" s="1096"/>
      <c r="AE52" s="59" t="s">
        <v>845</v>
      </c>
      <c r="AF52" s="58" t="s">
        <v>771</v>
      </c>
      <c r="AG52" s="1094">
        <f>IF((SUM(AG39:AK47)-AG48)&gt;0,(SUM(AG39:AK47)-AG48),0)</f>
        <v>0</v>
      </c>
      <c r="AH52" s="1095"/>
      <c r="AI52" s="1095"/>
      <c r="AJ52" s="1095"/>
      <c r="AK52" s="1130"/>
      <c r="AL52" s="136"/>
    </row>
    <row r="53" spans="1:38" ht="18.75" customHeight="1" x14ac:dyDescent="0.35">
      <c r="A53" s="131" t="s">
        <v>2127</v>
      </c>
      <c r="B53" s="15"/>
      <c r="C53" s="15"/>
      <c r="D53" s="15"/>
      <c r="E53" s="15"/>
      <c r="F53" s="15"/>
      <c r="G53" s="15"/>
      <c r="H53" s="15"/>
      <c r="I53" s="15"/>
      <c r="J53" s="15"/>
      <c r="K53" s="15"/>
      <c r="L53" s="15"/>
      <c r="M53" s="15"/>
      <c r="N53" s="15"/>
      <c r="O53" s="130"/>
      <c r="P53" s="40" t="s">
        <v>844</v>
      </c>
      <c r="Q53" s="53" t="s">
        <v>773</v>
      </c>
      <c r="R53" s="1182">
        <f>SUMIFS(COMPRAS!DE:DE,COMPRAS!AS:AS,W53,COMPRAS!DC:DC,"SI")+SUMIFS(COMPRAS!DF:DF,COMPRAS!AU:AU,W53,COMPRAS!DC:DC,"SI")+SUMIFS(COMPRAS!DG:DG,COMPRAS!AW:AW,W53,COMPRAS!DC:DC,"SI")</f>
        <v>0</v>
      </c>
      <c r="S53" s="1182"/>
      <c r="T53" s="1182"/>
      <c r="U53" s="1182"/>
      <c r="V53" s="1182"/>
      <c r="W53" s="40" t="s">
        <v>843</v>
      </c>
      <c r="X53" s="1183">
        <f>SUMIFS(COMPRAS!AT:AT,COMPRAS!AS:AS,W53,COMPRAS!DC:DC,"SI")+SUMIFS(COMPRAS!AV:AV,COMPRAS!AU:AU,W53,COMPRAS!DC:DC,"SI")+SUMIFS(COMPRAS!AX:AX,COMPRAS!AW:AW,W53,COMPRAS!DC:DC,"SI")</f>
        <v>0</v>
      </c>
      <c r="Y53" s="1184"/>
      <c r="Z53" s="1184"/>
      <c r="AA53" s="1184"/>
      <c r="AB53" s="1184"/>
      <c r="AC53" s="1184"/>
      <c r="AD53" s="1185"/>
      <c r="AE53" s="1224" t="s">
        <v>753</v>
      </c>
      <c r="AF53" s="1225"/>
      <c r="AG53" s="1225"/>
      <c r="AH53" s="1225"/>
      <c r="AI53" s="1225"/>
      <c r="AJ53" s="1225"/>
      <c r="AK53" s="1226"/>
    </row>
    <row r="54" spans="1:38" ht="18.75" customHeight="1" x14ac:dyDescent="0.35">
      <c r="A54" s="129" t="s">
        <v>2128</v>
      </c>
      <c r="B54" s="43"/>
      <c r="C54" s="43"/>
      <c r="D54" s="43"/>
      <c r="E54" s="43"/>
      <c r="F54" s="43"/>
      <c r="G54" s="43"/>
      <c r="H54" s="43"/>
      <c r="I54" s="43"/>
      <c r="J54" s="43"/>
      <c r="K54" s="43"/>
      <c r="L54" s="43"/>
      <c r="M54" s="43"/>
      <c r="N54" s="43"/>
      <c r="O54" s="43"/>
      <c r="P54" s="40" t="s">
        <v>842</v>
      </c>
      <c r="Q54" s="53" t="s">
        <v>773</v>
      </c>
      <c r="R54" s="1084">
        <f>SUMIFS(COMPRAS!DE:DE,COMPRAS!AS:AS,W54,COMPRAS!DC:DC,"SI")+SUMIFS(COMPRAS!DF:DF,COMPRAS!AU:AU,W54,COMPRAS!DC:DC,"SI")+SUMIFS(COMPRAS!DG:DG,COMPRAS!AW:AW,W54,COMPRAS!DC:DC,"SI")</f>
        <v>0</v>
      </c>
      <c r="S54" s="1084"/>
      <c r="T54" s="1084"/>
      <c r="U54" s="1084"/>
      <c r="V54" s="1084"/>
      <c r="W54" s="72" t="s">
        <v>841</v>
      </c>
      <c r="X54" s="1084">
        <f>SUMIFS(COMPRAS!AT:AT,COMPRAS!AS:AS,W54,COMPRAS!DC:DC,"SI")+SUMIFS(COMPRAS!AV:AV,COMPRAS!AU:AU,W54,COMPRAS!DC:DC,"SI")+SUMIFS(COMPRAS!AX:AX,COMPRAS!AW:AW,W54,COMPRAS!DC:DC,"SI")</f>
        <v>0</v>
      </c>
      <c r="Y54" s="1084"/>
      <c r="Z54" s="1084"/>
      <c r="AA54" s="1084"/>
      <c r="AB54" s="1084"/>
      <c r="AC54" s="1084"/>
      <c r="AD54" s="1084"/>
      <c r="AE54" s="1169"/>
      <c r="AF54" s="1170"/>
      <c r="AG54" s="1170"/>
      <c r="AH54" s="1170"/>
      <c r="AI54" s="1170"/>
      <c r="AJ54" s="1170"/>
      <c r="AK54" s="1171"/>
    </row>
    <row r="55" spans="1:38" ht="18.75" customHeight="1" x14ac:dyDescent="0.35">
      <c r="A55" s="129" t="s">
        <v>2129</v>
      </c>
      <c r="B55" s="43"/>
      <c r="C55" s="43"/>
      <c r="D55" s="43"/>
      <c r="E55" s="43"/>
      <c r="F55" s="44"/>
      <c r="G55" s="43"/>
      <c r="H55" s="43"/>
      <c r="I55" s="43"/>
      <c r="J55" s="43"/>
      <c r="K55" s="43"/>
      <c r="L55" s="43"/>
      <c r="M55" s="43"/>
      <c r="N55" s="43"/>
      <c r="O55" s="43"/>
      <c r="P55" s="128"/>
      <c r="Q55" s="127"/>
      <c r="R55" s="127"/>
      <c r="S55" s="127"/>
      <c r="T55" s="127"/>
      <c r="U55" s="127"/>
      <c r="V55" s="126"/>
      <c r="W55" s="40" t="s">
        <v>840</v>
      </c>
      <c r="X55" s="1084">
        <f>IF(Y49&lt;0,ABS(Y49),0)+IF(Y50&lt;0,ABS(Y50),0)</f>
        <v>0</v>
      </c>
      <c r="Y55" s="1084"/>
      <c r="Z55" s="1084"/>
      <c r="AA55" s="1084"/>
      <c r="AB55" s="1084"/>
      <c r="AC55" s="1084"/>
      <c r="AD55" s="1084"/>
      <c r="AE55" s="1227"/>
      <c r="AF55" s="1228"/>
      <c r="AG55" s="1228"/>
      <c r="AH55" s="1228"/>
      <c r="AI55" s="1228"/>
      <c r="AJ55" s="1228"/>
      <c r="AK55" s="1229"/>
    </row>
    <row r="56" spans="1:38" ht="18.75" customHeight="1" x14ac:dyDescent="0.35">
      <c r="A56" s="99" t="s">
        <v>2130</v>
      </c>
      <c r="B56" s="15"/>
      <c r="C56" s="15"/>
      <c r="D56" s="15"/>
      <c r="E56" s="15"/>
      <c r="F56" s="41"/>
      <c r="G56" s="15"/>
      <c r="H56" s="15"/>
      <c r="I56" s="15"/>
      <c r="J56" s="15"/>
      <c r="K56" s="15"/>
      <c r="L56" s="15"/>
      <c r="M56" s="15"/>
      <c r="N56" s="15"/>
      <c r="O56" s="15"/>
      <c r="P56" s="128"/>
      <c r="Q56" s="127"/>
      <c r="R56" s="127"/>
      <c r="S56" s="127"/>
      <c r="T56" s="127"/>
      <c r="U56" s="127"/>
      <c r="V56" s="126"/>
      <c r="W56" s="72" t="s">
        <v>839</v>
      </c>
      <c r="X56" s="1084">
        <f>IF(Y39&lt;0,ABS(Y39),0)+IF(Y40&lt;0,ABS(Y40),0)+IF(Y41&lt;0,ABS(Y41),0)+IF(Y42&lt;0,ABS(Y42),0)+IF(Y43&lt;0,ABS(Y43),0)+IF(Y44&lt;0,ABS(Y44),0)+IF(Y45&lt;0,ABS(Y45),0)+IF(Y46&lt;0,ABS(Y46),0)</f>
        <v>0</v>
      </c>
      <c r="Y56" s="1084"/>
      <c r="Z56" s="1084"/>
      <c r="AA56" s="1084"/>
      <c r="AB56" s="1084"/>
      <c r="AC56" s="1084"/>
      <c r="AD56" s="1084"/>
      <c r="AE56" s="72" t="s">
        <v>838</v>
      </c>
      <c r="AF56" s="1197">
        <f>IF(X56&gt;0,ABS(AF57-SUMIF(COMPRAS!DC:DC,"SI",COMPRAS!Z:Z)+SUMIF(COMPRAS!DC:DC,"SI",COMPRAS!AC:AC)+SUMIF(COMPRAS!DC:DC,"SI",COMPRAS!AF:AF)),0)</f>
        <v>0</v>
      </c>
      <c r="AG56" s="1198"/>
      <c r="AH56" s="1198"/>
      <c r="AI56" s="1198"/>
      <c r="AJ56" s="1198"/>
      <c r="AK56" s="1199"/>
    </row>
    <row r="57" spans="1:38" ht="18.75" customHeight="1" thickBot="1" x14ac:dyDescent="0.4">
      <c r="A57" s="125" t="s">
        <v>2131</v>
      </c>
      <c r="B57" s="123"/>
      <c r="C57" s="123"/>
      <c r="D57" s="123"/>
      <c r="E57" s="123"/>
      <c r="F57" s="124"/>
      <c r="G57" s="123"/>
      <c r="H57" s="123"/>
      <c r="I57" s="123"/>
      <c r="J57" s="123"/>
      <c r="K57" s="123"/>
      <c r="L57" s="123"/>
      <c r="M57" s="123"/>
      <c r="N57" s="123"/>
      <c r="O57" s="123"/>
      <c r="P57" s="121" t="s">
        <v>837</v>
      </c>
      <c r="Q57" s="122" t="s">
        <v>773</v>
      </c>
      <c r="R57" s="1213">
        <f>SUMIFS(COMPRAS!DE:DE,COMPRAS!AS:AS,W57,COMPRAS!DC:DC,"SI")+SUMIFS(COMPRAS!DF:DF,COMPRAS!AU:AU,W57,COMPRAS!DC:DC,"SI")+SUMIFS(COMPRAS!DG:DG,COMPRAS!AW:AW,W57,COMPRAS!DC:DC,"SI")</f>
        <v>0</v>
      </c>
      <c r="S57" s="1213"/>
      <c r="T57" s="1213"/>
      <c r="U57" s="1213"/>
      <c r="V57" s="1213"/>
      <c r="W57" s="121" t="s">
        <v>836</v>
      </c>
      <c r="X57" s="1213">
        <f>SUMIFS(COMPRAS!AT:AT,COMPRAS!AS:AS,W57,COMPRAS!DC:DC,"SI")+SUMIFS(COMPRAS!AV:AV,COMPRAS!AU:AU,W57,COMPRAS!DC:DC,"SI")+SUMIFS(COMPRAS!AX:AX,COMPRAS!AW:AW,W57,COMPRAS!DC:DC,"SI")</f>
        <v>0</v>
      </c>
      <c r="Y57" s="1213"/>
      <c r="Z57" s="1213"/>
      <c r="AA57" s="1213"/>
      <c r="AB57" s="1213"/>
      <c r="AC57" s="1213"/>
      <c r="AD57" s="1213"/>
      <c r="AE57" s="274" t="s">
        <v>835</v>
      </c>
      <c r="AF57" s="1218">
        <f>SUMIFS(COMPRAS!Z:Z,COMPRAS!DC:DC,"SI",COMPRAS!AS:AS,W57)+SUMIFS(COMPRAS!Z:Z,COMPRAS!DC:DC,"SI",COMPRAS!AU:AU,W57)+SUMIFS(COMPRAS!Z:Z,COMPRAS!DC:DC,"SI",COMPRAS!AW:AW,W57)+SUMIFS(COMPRAS!AC:AC,COMPRAS!DC:DC,"SI",COMPRAS!AS:AS,W57)+SUMIFS(COMPRAS!AC:AC,COMPRAS!DC:DC,"SI",COMPRAS!AU:AU,W57)+SUMIFS(COMPRAS!AC:AC,COMPRAS!DC:DC,"SI",COMPRAS!AW:AW,W57)+SUMIFS(COMPRAS!AF:AF,COMPRAS!DC:DC,"SI",COMPRAS!AS:AS,W57)+SUMIFS(COMPRAS!AF:AF,COMPRAS!DC:DC,"SI",COMPRAS!AU:AU,W57)+SUMIFS(COMPRAS!AF:AF,COMPRAS!DC:DC,"SI",COMPRAS!AW:AW,W57)</f>
        <v>0</v>
      </c>
      <c r="AG57" s="1219"/>
      <c r="AH57" s="1219"/>
      <c r="AI57" s="1219"/>
      <c r="AJ57" s="1219"/>
      <c r="AK57" s="1220"/>
    </row>
    <row r="58" spans="1:38" ht="8.25" customHeight="1" thickBot="1" x14ac:dyDescent="0.4">
      <c r="A58" s="23"/>
      <c r="AK58" s="19"/>
    </row>
    <row r="59" spans="1:38" ht="18.75" customHeight="1" thickBot="1" x14ac:dyDescent="0.4">
      <c r="A59" s="120" t="s">
        <v>834</v>
      </c>
      <c r="B59" s="118"/>
      <c r="C59" s="118"/>
      <c r="D59" s="118"/>
      <c r="E59" s="118"/>
      <c r="F59" s="119"/>
      <c r="G59" s="118"/>
      <c r="H59" s="118"/>
      <c r="I59" s="118"/>
      <c r="J59" s="118"/>
      <c r="K59" s="118"/>
      <c r="L59" s="118"/>
      <c r="M59" s="118"/>
      <c r="N59" s="118"/>
      <c r="O59" s="118"/>
      <c r="P59" s="118"/>
      <c r="Q59" s="118"/>
      <c r="R59" s="118"/>
      <c r="S59" s="118"/>
      <c r="T59" s="118"/>
      <c r="U59" s="118"/>
      <c r="V59" s="118"/>
      <c r="W59" s="118"/>
      <c r="X59" s="118"/>
      <c r="Y59" s="118"/>
      <c r="Z59" s="118"/>
      <c r="AA59" s="118"/>
      <c r="AB59" s="118"/>
      <c r="AC59" s="118"/>
      <c r="AD59" s="117" t="s">
        <v>2351</v>
      </c>
      <c r="AE59" s="116" t="s">
        <v>833</v>
      </c>
      <c r="AF59" s="1214">
        <f>ROUND((IF(AND(Z25&gt;0,(Z19+Z20)&gt;0),(Z13+Z14+Z15+Z16+Z21+Z22+Z23+Z24)/Z25,IF(Z25&gt;0,1,0))),4)</f>
        <v>0</v>
      </c>
      <c r="AG59" s="1215"/>
      <c r="AH59" s="1215"/>
      <c r="AI59" s="1215"/>
      <c r="AJ59" s="1215"/>
      <c r="AK59" s="1216"/>
    </row>
    <row r="60" spans="1:38" ht="18.75" customHeight="1" thickBot="1" x14ac:dyDescent="0.4">
      <c r="A60" s="71" t="s">
        <v>832</v>
      </c>
      <c r="B60" s="33"/>
      <c r="C60" s="33"/>
      <c r="D60" s="33"/>
      <c r="E60" s="33"/>
      <c r="F60" s="34"/>
      <c r="G60" s="33"/>
      <c r="H60" s="33"/>
      <c r="I60" s="33"/>
      <c r="J60" s="33"/>
      <c r="K60" s="33"/>
      <c r="L60" s="33"/>
      <c r="M60" s="33"/>
      <c r="N60" s="33"/>
      <c r="O60" s="33"/>
      <c r="P60" s="33"/>
      <c r="Q60" s="33"/>
      <c r="R60" s="33"/>
      <c r="S60" s="33"/>
      <c r="T60" s="33"/>
      <c r="U60" s="33"/>
      <c r="V60" s="33"/>
      <c r="W60" s="33"/>
      <c r="X60" s="33"/>
      <c r="Y60" s="33"/>
      <c r="Z60" s="33"/>
      <c r="AA60" s="33"/>
      <c r="AB60" s="33"/>
      <c r="AC60" s="33"/>
      <c r="AD60" s="70" t="s">
        <v>2352</v>
      </c>
      <c r="AE60" s="115" t="s">
        <v>831</v>
      </c>
      <c r="AF60" s="58" t="s">
        <v>771</v>
      </c>
      <c r="AG60" s="1094">
        <f>+ROUND(((AG39+AG40+AG41+AG42+AG44+AG45+AG46+AG47-AG48)*AF59),2)</f>
        <v>0</v>
      </c>
      <c r="AH60" s="1095"/>
      <c r="AI60" s="1095"/>
      <c r="AJ60" s="1095"/>
      <c r="AK60" s="1130"/>
      <c r="AL60" s="267"/>
    </row>
    <row r="61" spans="1:38" ht="8.25" customHeight="1" x14ac:dyDescent="0.35">
      <c r="A61" s="23"/>
      <c r="AK61" s="19"/>
    </row>
    <row r="62" spans="1:38" ht="27" customHeight="1" x14ac:dyDescent="0.35">
      <c r="A62" s="1192" t="s">
        <v>1290</v>
      </c>
      <c r="B62" s="1113"/>
      <c r="C62" s="1113"/>
      <c r="D62" s="1113"/>
      <c r="E62" s="1113"/>
      <c r="F62" s="1113"/>
      <c r="G62" s="1113"/>
      <c r="H62" s="1113"/>
      <c r="I62" s="1113"/>
      <c r="J62" s="1114"/>
      <c r="K62" s="320" t="s">
        <v>1287</v>
      </c>
      <c r="L62" s="1109">
        <f>COUNTIFS(COMPRAS!DC:DC,"SI")-COUNTIFS(COMPRAS!DC:DC,"SI",COMPRAS!G:G,"04-Nota de credito")-AC62-AC63</f>
        <v>0</v>
      </c>
      <c r="M62" s="1110"/>
      <c r="N62" s="1110"/>
      <c r="O62" s="1111"/>
      <c r="P62" s="1112" t="s">
        <v>1291</v>
      </c>
      <c r="Q62" s="1113"/>
      <c r="R62" s="1113"/>
      <c r="S62" s="1113"/>
      <c r="T62" s="1113"/>
      <c r="U62" s="1113"/>
      <c r="V62" s="1113"/>
      <c r="W62" s="1113"/>
      <c r="X62" s="1113"/>
      <c r="Y62" s="1113"/>
      <c r="Z62" s="1113"/>
      <c r="AA62" s="1114"/>
      <c r="AB62" s="320" t="s">
        <v>1288</v>
      </c>
      <c r="AC62" s="1109">
        <f>COUNTIFS(COMPRAS!DC:DC,"SI",COMPRAS!G:G,"02-Nota o boleta de venta")</f>
        <v>0</v>
      </c>
      <c r="AD62" s="1110"/>
      <c r="AE62" s="1110"/>
      <c r="AF62" s="1111"/>
      <c r="AG62" s="319"/>
      <c r="AK62" s="19"/>
    </row>
    <row r="63" spans="1:38" ht="27" customHeight="1" x14ac:dyDescent="0.35">
      <c r="A63" s="1192" t="s">
        <v>2132</v>
      </c>
      <c r="B63" s="1113"/>
      <c r="C63" s="1113"/>
      <c r="D63" s="1113"/>
      <c r="E63" s="1113"/>
      <c r="F63" s="1113"/>
      <c r="G63" s="1113"/>
      <c r="H63" s="1113"/>
      <c r="I63" s="1113"/>
      <c r="J63" s="1113"/>
      <c r="K63" s="1113"/>
      <c r="L63" s="1113"/>
      <c r="M63" s="1113"/>
      <c r="N63" s="1113"/>
      <c r="O63" s="1113"/>
      <c r="P63" s="1113"/>
      <c r="Q63" s="1113"/>
      <c r="R63" s="1113"/>
      <c r="S63" s="1113"/>
      <c r="T63" s="1113"/>
      <c r="U63" s="1113"/>
      <c r="V63" s="1113"/>
      <c r="W63" s="1113"/>
      <c r="X63" s="1113"/>
      <c r="Y63" s="1113"/>
      <c r="Z63" s="1113"/>
      <c r="AA63" s="1114"/>
      <c r="AB63" s="320" t="s">
        <v>1289</v>
      </c>
      <c r="AC63" s="1109">
        <f>COUNTIFS(COMPRAS!DC:DC,"SI",COMPRAS!G:G,"03-Liquidación de compra de Bienes o Prestación de servicios")</f>
        <v>0</v>
      </c>
      <c r="AD63" s="1110"/>
      <c r="AE63" s="1110"/>
      <c r="AF63" s="1111"/>
      <c r="AG63" s="319"/>
      <c r="AK63" s="19"/>
    </row>
    <row r="64" spans="1:38" ht="8.25" customHeight="1" thickBot="1" x14ac:dyDescent="0.4">
      <c r="A64" s="23"/>
      <c r="AK64" s="19"/>
    </row>
    <row r="65" spans="1:39" ht="19.5" customHeight="1" thickBot="1" x14ac:dyDescent="0.4">
      <c r="A65" s="114" t="s">
        <v>830</v>
      </c>
      <c r="B65" s="49"/>
      <c r="C65" s="49"/>
      <c r="D65" s="49"/>
      <c r="E65" s="49"/>
      <c r="F65" s="49"/>
      <c r="G65" s="49"/>
      <c r="H65" s="49"/>
      <c r="I65" s="49"/>
      <c r="J65" s="49"/>
      <c r="K65" s="49"/>
      <c r="L65" s="49"/>
      <c r="M65" s="49"/>
      <c r="N65" s="49"/>
      <c r="O65" s="49"/>
      <c r="P65" s="49"/>
      <c r="Q65" s="49"/>
      <c r="R65" s="49"/>
      <c r="S65" s="49"/>
      <c r="T65" s="49"/>
      <c r="U65" s="49"/>
      <c r="V65" s="49"/>
      <c r="W65" s="49"/>
      <c r="X65" s="49"/>
      <c r="Y65" s="49"/>
      <c r="Z65" s="49"/>
      <c r="AA65" s="49"/>
      <c r="AB65" s="49"/>
      <c r="AC65" s="49"/>
      <c r="AD65" s="49"/>
      <c r="AE65" s="49"/>
      <c r="AF65" s="49"/>
      <c r="AG65" s="49"/>
      <c r="AH65" s="49"/>
      <c r="AI65" s="49"/>
      <c r="AJ65" s="49"/>
      <c r="AK65" s="48"/>
    </row>
    <row r="66" spans="1:39" ht="18.75" customHeight="1" x14ac:dyDescent="0.35">
      <c r="A66" s="113" t="s">
        <v>2133</v>
      </c>
      <c r="B66" s="43"/>
      <c r="C66" s="43"/>
      <c r="D66" s="43"/>
      <c r="E66" s="43"/>
      <c r="F66" s="43"/>
      <c r="G66" s="43"/>
      <c r="H66" s="43"/>
      <c r="I66" s="43"/>
      <c r="J66" s="43"/>
      <c r="K66" s="43"/>
      <c r="L66" s="43"/>
      <c r="M66" s="43"/>
      <c r="N66" s="43"/>
      <c r="O66" s="43"/>
      <c r="P66" s="43"/>
      <c r="Q66" s="43"/>
      <c r="R66" s="43"/>
      <c r="S66" s="43"/>
      <c r="T66" s="43"/>
      <c r="U66" s="43"/>
      <c r="V66" s="43"/>
      <c r="W66" s="43"/>
      <c r="X66" s="43"/>
      <c r="Y66" s="112"/>
      <c r="Z66" s="43"/>
      <c r="AA66" s="43"/>
      <c r="AB66" s="43"/>
      <c r="AC66" s="43"/>
      <c r="AD66" s="55" t="s">
        <v>2137</v>
      </c>
      <c r="AE66" s="40" t="s">
        <v>829</v>
      </c>
      <c r="AF66" s="111" t="s">
        <v>771</v>
      </c>
      <c r="AG66" s="1157">
        <f>IF((AH34-AG60)&gt;0,(AH34-AG60),0)</f>
        <v>0</v>
      </c>
      <c r="AH66" s="1152"/>
      <c r="AI66" s="1152"/>
      <c r="AJ66" s="1152"/>
      <c r="AK66" s="1153"/>
      <c r="AM66" s="95"/>
    </row>
    <row r="67" spans="1:39" ht="18.75" customHeight="1" x14ac:dyDescent="0.35">
      <c r="A67" s="109" t="s">
        <v>2134</v>
      </c>
      <c r="B67" s="15"/>
      <c r="C67" s="15"/>
      <c r="D67" s="43"/>
      <c r="E67" s="43"/>
      <c r="F67" s="43"/>
      <c r="G67" s="43"/>
      <c r="H67" s="15"/>
      <c r="I67" s="15"/>
      <c r="J67" s="15"/>
      <c r="K67" s="15"/>
      <c r="L67" s="15"/>
      <c r="M67" s="15"/>
      <c r="N67" s="15"/>
      <c r="O67" s="15"/>
      <c r="P67" s="15"/>
      <c r="Q67" s="15"/>
      <c r="R67" s="15"/>
      <c r="S67" s="15"/>
      <c r="T67" s="15"/>
      <c r="U67" s="15"/>
      <c r="V67" s="15"/>
      <c r="W67" s="15"/>
      <c r="X67" s="15"/>
      <c r="Y67" s="110"/>
      <c r="Z67" s="15"/>
      <c r="AA67" s="15"/>
      <c r="AB67" s="15"/>
      <c r="AC67" s="15"/>
      <c r="AD67" s="207" t="s">
        <v>2138</v>
      </c>
      <c r="AE67" s="72" t="s">
        <v>828</v>
      </c>
      <c r="AF67" s="54" t="s">
        <v>771</v>
      </c>
      <c r="AG67" s="1085">
        <f>IF((AH34-AG60)&lt;0,ABS(AH34-AG60),0)</f>
        <v>0</v>
      </c>
      <c r="AH67" s="1086"/>
      <c r="AI67" s="1086"/>
      <c r="AJ67" s="1086"/>
      <c r="AK67" s="1088"/>
      <c r="AM67" s="95"/>
    </row>
    <row r="68" spans="1:39" s="75" customFormat="1" ht="18.75" customHeight="1" x14ac:dyDescent="0.35">
      <c r="A68" s="109" t="s">
        <v>2135</v>
      </c>
      <c r="B68" s="76"/>
      <c r="C68" s="76"/>
      <c r="D68" s="101"/>
      <c r="E68" s="101"/>
      <c r="F68" s="101"/>
      <c r="G68" s="101"/>
      <c r="H68" s="76"/>
      <c r="I68" s="76"/>
      <c r="J68" s="76"/>
      <c r="K68" s="76"/>
      <c r="L68" s="76"/>
      <c r="M68" s="76"/>
      <c r="N68" s="76"/>
      <c r="O68" s="76"/>
      <c r="P68" s="76"/>
      <c r="Q68" s="76"/>
      <c r="R68" s="76"/>
      <c r="S68" s="76"/>
      <c r="T68" s="76"/>
      <c r="U68" s="76"/>
      <c r="V68" s="76"/>
      <c r="W68" s="76"/>
      <c r="X68" s="76"/>
      <c r="Y68" s="108"/>
      <c r="Z68" s="76"/>
      <c r="AA68" s="76"/>
      <c r="AB68" s="76"/>
      <c r="AC68" s="76"/>
      <c r="AD68" s="76"/>
      <c r="AE68" s="72" t="s">
        <v>827</v>
      </c>
      <c r="AF68" s="53" t="s">
        <v>792</v>
      </c>
      <c r="AG68" s="1085">
        <v>0</v>
      </c>
      <c r="AH68" s="1086"/>
      <c r="AI68" s="1086"/>
      <c r="AJ68" s="1086"/>
      <c r="AK68" s="1088"/>
    </row>
    <row r="69" spans="1:39" s="75" customFormat="1" ht="18.75" customHeight="1" x14ac:dyDescent="0.35">
      <c r="A69" s="109" t="s">
        <v>2136</v>
      </c>
      <c r="B69" s="76"/>
      <c r="C69" s="76"/>
      <c r="D69" s="101"/>
      <c r="E69" s="101"/>
      <c r="F69" s="101"/>
      <c r="G69" s="101"/>
      <c r="H69" s="76"/>
      <c r="I69" s="76"/>
      <c r="J69" s="76"/>
      <c r="K69" s="76"/>
      <c r="L69" s="76"/>
      <c r="M69" s="76"/>
      <c r="N69" s="76"/>
      <c r="O69" s="76"/>
      <c r="P69" s="76"/>
      <c r="Q69" s="76"/>
      <c r="R69" s="76"/>
      <c r="S69" s="76"/>
      <c r="T69" s="76"/>
      <c r="U69" s="76"/>
      <c r="V69" s="76"/>
      <c r="W69" s="76"/>
      <c r="X69" s="76"/>
      <c r="Y69" s="108"/>
      <c r="Z69" s="76"/>
      <c r="AA69" s="76"/>
      <c r="AB69" s="76"/>
      <c r="AC69" s="76"/>
      <c r="AD69" s="76"/>
      <c r="AE69" s="72" t="s">
        <v>826</v>
      </c>
      <c r="AF69" s="53" t="s">
        <v>792</v>
      </c>
      <c r="AG69" s="1085">
        <v>0</v>
      </c>
      <c r="AH69" s="1086"/>
      <c r="AI69" s="1086"/>
      <c r="AJ69" s="1086"/>
      <c r="AK69" s="1088"/>
      <c r="AL69" s="107"/>
      <c r="AM69" s="89"/>
    </row>
    <row r="70" spans="1:39" ht="18.75" customHeight="1" x14ac:dyDescent="0.25">
      <c r="A70" s="1131" t="s">
        <v>825</v>
      </c>
      <c r="B70" s="1132"/>
      <c r="C70" s="1133"/>
      <c r="D70" s="580" t="s">
        <v>2139</v>
      </c>
      <c r="E70" s="91"/>
      <c r="F70" s="106"/>
      <c r="G70" s="91"/>
      <c r="H70" s="106"/>
      <c r="I70" s="91"/>
      <c r="J70" s="106"/>
      <c r="K70" s="91"/>
      <c r="L70" s="106"/>
      <c r="M70" s="91"/>
      <c r="N70" s="106"/>
      <c r="O70" s="91"/>
      <c r="P70" s="106"/>
      <c r="Q70" s="91"/>
      <c r="R70" s="106"/>
      <c r="S70" s="91"/>
      <c r="T70" s="106"/>
      <c r="U70" s="91"/>
      <c r="V70" s="106"/>
      <c r="W70" s="91"/>
      <c r="X70" s="106"/>
      <c r="Y70" s="106"/>
      <c r="Z70" s="91"/>
      <c r="AA70" s="106"/>
      <c r="AB70" s="91"/>
      <c r="AC70" s="106"/>
      <c r="AD70" s="578" t="s">
        <v>2143</v>
      </c>
      <c r="AE70" s="40" t="s">
        <v>824</v>
      </c>
      <c r="AF70" s="53" t="s">
        <v>792</v>
      </c>
      <c r="AG70" s="1140">
        <f>ABS(SUMIF(LIQ_IMPUESTOS!C$5:C$16,T4,LIQ_IMPUESTOS!AE$5:AE$16))</f>
        <v>0</v>
      </c>
      <c r="AH70" s="1141"/>
      <c r="AI70" s="1141"/>
      <c r="AJ70" s="1141"/>
      <c r="AK70" s="1142"/>
      <c r="AL70" s="75"/>
    </row>
    <row r="71" spans="1:39" ht="18.75" customHeight="1" x14ac:dyDescent="0.25">
      <c r="A71" s="1134"/>
      <c r="B71" s="1135"/>
      <c r="C71" s="1136"/>
      <c r="D71" s="580" t="s">
        <v>2140</v>
      </c>
      <c r="E71" s="105"/>
      <c r="F71" s="104"/>
      <c r="G71" s="105"/>
      <c r="H71" s="104"/>
      <c r="I71" s="105"/>
      <c r="J71" s="104"/>
      <c r="K71" s="105"/>
      <c r="L71" s="104"/>
      <c r="M71" s="105"/>
      <c r="N71" s="104"/>
      <c r="O71" s="105"/>
      <c r="P71" s="104"/>
      <c r="Q71" s="105"/>
      <c r="R71" s="104"/>
      <c r="S71" s="105"/>
      <c r="T71" s="104"/>
      <c r="U71" s="105"/>
      <c r="V71" s="104"/>
      <c r="W71" s="105"/>
      <c r="X71" s="104"/>
      <c r="Y71" s="104"/>
      <c r="Z71" s="105"/>
      <c r="AA71" s="104"/>
      <c r="AB71" s="105"/>
      <c r="AC71" s="104"/>
      <c r="AD71" s="579" t="s">
        <v>2144</v>
      </c>
      <c r="AE71" s="72" t="s">
        <v>823</v>
      </c>
      <c r="AF71" s="53" t="s">
        <v>792</v>
      </c>
      <c r="AG71" s="1140">
        <f>ABS(SUMIF(LIQ_IMPUESTOS!C$5:C$16,T4,LIQ_IMPUESTOS!AF$5:AF$16))</f>
        <v>0</v>
      </c>
      <c r="AH71" s="1141"/>
      <c r="AI71" s="1141"/>
      <c r="AJ71" s="1141"/>
      <c r="AK71" s="1142"/>
      <c r="AL71" s="75"/>
    </row>
    <row r="72" spans="1:39" s="75" customFormat="1" ht="18.75" customHeight="1" x14ac:dyDescent="0.25">
      <c r="A72" s="1134"/>
      <c r="B72" s="1135"/>
      <c r="C72" s="1136"/>
      <c r="D72" s="581" t="s">
        <v>2141</v>
      </c>
      <c r="E72" s="102"/>
      <c r="F72" s="103"/>
      <c r="G72" s="102"/>
      <c r="H72" s="103"/>
      <c r="I72" s="102"/>
      <c r="J72" s="103"/>
      <c r="K72" s="102"/>
      <c r="L72" s="103"/>
      <c r="M72" s="102"/>
      <c r="N72" s="103"/>
      <c r="O72" s="102"/>
      <c r="P72" s="103"/>
      <c r="Q72" s="102"/>
      <c r="R72" s="103"/>
      <c r="S72" s="102"/>
      <c r="T72" s="103"/>
      <c r="U72" s="102"/>
      <c r="V72" s="103"/>
      <c r="W72" s="102"/>
      <c r="X72" s="103"/>
      <c r="Y72" s="103"/>
      <c r="Z72" s="102"/>
      <c r="AA72" s="103"/>
      <c r="AB72" s="102"/>
      <c r="AC72" s="103"/>
      <c r="AD72" s="579" t="s">
        <v>2145</v>
      </c>
      <c r="AE72" s="72" t="s">
        <v>822</v>
      </c>
      <c r="AF72" s="53" t="s">
        <v>792</v>
      </c>
      <c r="AG72" s="1085">
        <v>0</v>
      </c>
      <c r="AH72" s="1086"/>
      <c r="AI72" s="1086"/>
      <c r="AJ72" s="1086"/>
      <c r="AK72" s="1088"/>
    </row>
    <row r="73" spans="1:39" s="75" customFormat="1" ht="18.75" customHeight="1" x14ac:dyDescent="0.25">
      <c r="A73" s="1137"/>
      <c r="B73" s="1138"/>
      <c r="C73" s="1139"/>
      <c r="D73" s="581" t="s">
        <v>2142</v>
      </c>
      <c r="E73" s="102"/>
      <c r="F73" s="103"/>
      <c r="G73" s="102"/>
      <c r="H73" s="103"/>
      <c r="I73" s="102"/>
      <c r="J73" s="103"/>
      <c r="K73" s="102"/>
      <c r="L73" s="103"/>
      <c r="M73" s="102"/>
      <c r="N73" s="103"/>
      <c r="O73" s="102"/>
      <c r="P73" s="103"/>
      <c r="Q73" s="102"/>
      <c r="R73" s="103"/>
      <c r="S73" s="102"/>
      <c r="T73" s="103"/>
      <c r="U73" s="102"/>
      <c r="V73" s="103"/>
      <c r="W73" s="102"/>
      <c r="X73" s="103"/>
      <c r="Y73" s="103"/>
      <c r="Z73" s="102"/>
      <c r="AA73" s="103"/>
      <c r="AB73" s="102"/>
      <c r="AC73" s="103"/>
      <c r="AD73" s="579" t="s">
        <v>2146</v>
      </c>
      <c r="AE73" s="40" t="s">
        <v>821</v>
      </c>
      <c r="AF73" s="53" t="s">
        <v>792</v>
      </c>
      <c r="AG73" s="1140">
        <v>0</v>
      </c>
      <c r="AH73" s="1141"/>
      <c r="AI73" s="1141"/>
      <c r="AJ73" s="1141"/>
      <c r="AK73" s="1142"/>
    </row>
    <row r="74" spans="1:39" ht="18.75" customHeight="1" x14ac:dyDescent="0.35">
      <c r="A74" s="99" t="s">
        <v>2147</v>
      </c>
      <c r="B74" s="15"/>
      <c r="C74" s="15"/>
      <c r="D74" s="43"/>
      <c r="E74" s="43"/>
      <c r="F74" s="43"/>
      <c r="G74" s="43"/>
      <c r="H74" s="15"/>
      <c r="I74" s="15"/>
      <c r="J74" s="15"/>
      <c r="K74" s="15"/>
      <c r="L74" s="15"/>
      <c r="M74" s="15"/>
      <c r="N74" s="15"/>
      <c r="O74" s="15"/>
      <c r="P74" s="15"/>
      <c r="Q74" s="15"/>
      <c r="R74" s="15"/>
      <c r="S74" s="15"/>
      <c r="T74" s="15"/>
      <c r="U74" s="15"/>
      <c r="V74" s="15"/>
      <c r="W74" s="15"/>
      <c r="X74" s="15"/>
      <c r="Y74" s="15"/>
      <c r="Z74" s="15"/>
      <c r="AA74" s="15"/>
      <c r="AB74" s="15"/>
      <c r="AC74" s="15"/>
      <c r="AD74" s="15"/>
      <c r="AE74" s="40" t="s">
        <v>820</v>
      </c>
      <c r="AF74" s="53" t="s">
        <v>792</v>
      </c>
      <c r="AG74" s="1085">
        <f>IF(N5,ABS(LIQ_IMPUESTOS!AG16),0)+IF(M5,ABS(LIQ_IMPUESTOS!AG15),0)+IF(L5,ABS(LIQ_IMPUESTOS!AG14),0)+IF(K5,ABS(LIQ_IMPUESTOS!AG13),0)+IF(J5,ABS(LIQ_IMPUESTOS!AG12),0)+IF(I5,ABS(LIQ_IMPUESTOS!AG11),0)+IF(H5,ABS(LIQ_IMPUESTOS!AG10),0)+IF(G5,ABS(LIQ_IMPUESTOS!AG9),0)+IF(F5,ABS(LIQ_IMPUESTOS!AG8),0)+IF(E5,ABS(LIQ_IMPUESTOS!AG7),0)+IF(D5,ABS(LIQ_IMPUESTOS!AG6),0)+IF(C5,ABS(LIQ_IMPUESTOS!AG5),0)</f>
        <v>0</v>
      </c>
      <c r="AH74" s="1086"/>
      <c r="AI74" s="1086"/>
      <c r="AJ74" s="1086"/>
      <c r="AK74" s="1088"/>
      <c r="AL74" s="95"/>
    </row>
    <row r="75" spans="1:39" s="75" customFormat="1" ht="18.75" customHeight="1" x14ac:dyDescent="0.35">
      <c r="A75" s="99" t="s">
        <v>2148</v>
      </c>
      <c r="B75" s="76"/>
      <c r="C75" s="76"/>
      <c r="D75" s="101"/>
      <c r="E75" s="101"/>
      <c r="F75" s="101"/>
      <c r="G75" s="101"/>
      <c r="H75" s="76"/>
      <c r="I75" s="76"/>
      <c r="J75" s="76"/>
      <c r="K75" s="76"/>
      <c r="L75" s="76"/>
      <c r="M75" s="76"/>
      <c r="N75" s="76"/>
      <c r="O75" s="76"/>
      <c r="P75" s="76"/>
      <c r="Q75" s="76"/>
      <c r="R75" s="76"/>
      <c r="S75" s="76"/>
      <c r="T75" s="76"/>
      <c r="U75" s="76"/>
      <c r="V75" s="76"/>
      <c r="W75" s="76"/>
      <c r="X75" s="76"/>
      <c r="Y75" s="76"/>
      <c r="Z75" s="76"/>
      <c r="AA75" s="76"/>
      <c r="AB75" s="76"/>
      <c r="AC75" s="76"/>
      <c r="AD75" s="76"/>
      <c r="AE75" s="40" t="s">
        <v>2159</v>
      </c>
      <c r="AF75" s="53" t="s">
        <v>792</v>
      </c>
      <c r="AG75" s="1140">
        <v>0</v>
      </c>
      <c r="AH75" s="1141"/>
      <c r="AI75" s="1141"/>
      <c r="AJ75" s="1141"/>
      <c r="AK75" s="1142"/>
    </row>
    <row r="76" spans="1:39" s="75" customFormat="1" ht="18.75" customHeight="1" x14ac:dyDescent="0.35">
      <c r="A76" s="99" t="s">
        <v>2149</v>
      </c>
      <c r="B76" s="76"/>
      <c r="C76" s="76"/>
      <c r="D76" s="101"/>
      <c r="E76" s="101"/>
      <c r="F76" s="101"/>
      <c r="G76" s="101"/>
      <c r="H76" s="76"/>
      <c r="I76" s="76"/>
      <c r="J76" s="76"/>
      <c r="K76" s="76"/>
      <c r="L76" s="76"/>
      <c r="M76" s="76"/>
      <c r="N76" s="76"/>
      <c r="O76" s="76"/>
      <c r="P76" s="76"/>
      <c r="Q76" s="76"/>
      <c r="R76" s="76"/>
      <c r="S76" s="76"/>
      <c r="T76" s="76"/>
      <c r="U76" s="76"/>
      <c r="V76" s="76"/>
      <c r="W76" s="76"/>
      <c r="X76" s="76"/>
      <c r="Y76" s="76"/>
      <c r="Z76" s="76"/>
      <c r="AA76" s="76"/>
      <c r="AB76" s="76"/>
      <c r="AC76" s="76"/>
      <c r="AD76" s="76"/>
      <c r="AE76" s="40" t="s">
        <v>819</v>
      </c>
      <c r="AF76" s="53" t="s">
        <v>817</v>
      </c>
      <c r="AG76" s="1140">
        <v>0</v>
      </c>
      <c r="AH76" s="1141"/>
      <c r="AI76" s="1141"/>
      <c r="AJ76" s="1141"/>
      <c r="AK76" s="1142"/>
    </row>
    <row r="77" spans="1:39" s="75" customFormat="1" ht="18.75" customHeight="1" x14ac:dyDescent="0.35">
      <c r="A77" s="99" t="s">
        <v>2150</v>
      </c>
      <c r="B77" s="76"/>
      <c r="C77" s="76"/>
      <c r="D77" s="101"/>
      <c r="E77" s="101"/>
      <c r="F77" s="101"/>
      <c r="G77" s="101"/>
      <c r="H77" s="76"/>
      <c r="I77" s="76"/>
      <c r="J77" s="76"/>
      <c r="K77" s="76"/>
      <c r="L77" s="76"/>
      <c r="M77" s="76"/>
      <c r="N77" s="76"/>
      <c r="O77" s="76"/>
      <c r="P77" s="76"/>
      <c r="Q77" s="76"/>
      <c r="R77" s="76"/>
      <c r="S77" s="76"/>
      <c r="T77" s="76"/>
      <c r="U77" s="76"/>
      <c r="V77" s="76"/>
      <c r="W77" s="76"/>
      <c r="X77" s="76"/>
      <c r="Y77" s="76"/>
      <c r="Z77" s="76"/>
      <c r="AA77" s="76"/>
      <c r="AB77" s="76"/>
      <c r="AC77" s="76"/>
      <c r="AD77" s="76"/>
      <c r="AE77" s="40" t="s">
        <v>818</v>
      </c>
      <c r="AF77" s="53" t="s">
        <v>817</v>
      </c>
      <c r="AG77" s="1085">
        <f>IF(AND(SUMIF(COMPRAS!DC:DC,"SI",COMPRAS!DO:DO)&gt;0,SUM(R13:R14)&gt;0),SUMIF(COMPRAS!DC:DC,"SI",COMPRAS!DO:DO),0)</f>
        <v>0</v>
      </c>
      <c r="AH77" s="1086"/>
      <c r="AI77" s="1086"/>
      <c r="AJ77" s="1086"/>
      <c r="AK77" s="1088"/>
      <c r="AL77" s="100"/>
      <c r="AM77" s="89"/>
    </row>
    <row r="78" spans="1:39" ht="18.75" customHeight="1" x14ac:dyDescent="0.35">
      <c r="A78" s="99" t="s">
        <v>2151</v>
      </c>
      <c r="B78" s="15"/>
      <c r="C78" s="15"/>
      <c r="D78" s="43"/>
      <c r="E78" s="43"/>
      <c r="F78" s="43"/>
      <c r="G78" s="43"/>
      <c r="H78" s="15"/>
      <c r="I78" s="15"/>
      <c r="J78" s="15"/>
      <c r="K78" s="15"/>
      <c r="L78" s="15"/>
      <c r="M78" s="15"/>
      <c r="N78" s="15"/>
      <c r="O78" s="15"/>
      <c r="P78" s="15"/>
      <c r="Q78" s="15"/>
      <c r="R78" s="15"/>
      <c r="S78" s="15"/>
      <c r="T78" s="15"/>
      <c r="U78" s="15"/>
      <c r="V78" s="15"/>
      <c r="W78" s="15"/>
      <c r="X78" s="15"/>
      <c r="Y78" s="15"/>
      <c r="Z78" s="15"/>
      <c r="AA78" s="15"/>
      <c r="AB78" s="15"/>
      <c r="AC78" s="15"/>
      <c r="AD78" s="15"/>
      <c r="AE78" s="40" t="s">
        <v>816</v>
      </c>
      <c r="AF78" s="53" t="s">
        <v>773</v>
      </c>
      <c r="AG78" s="1140">
        <v>0</v>
      </c>
      <c r="AH78" s="1141"/>
      <c r="AI78" s="1141"/>
      <c r="AJ78" s="1141"/>
      <c r="AK78" s="1142"/>
      <c r="AL78" s="75"/>
    </row>
    <row r="79" spans="1:39" ht="18.75" customHeight="1" x14ac:dyDescent="0.35">
      <c r="A79" s="99" t="s">
        <v>2152</v>
      </c>
      <c r="B79" s="15"/>
      <c r="C79" s="15"/>
      <c r="D79" s="43"/>
      <c r="E79" s="43"/>
      <c r="F79" s="43"/>
      <c r="G79" s="43"/>
      <c r="H79" s="15"/>
      <c r="I79" s="15"/>
      <c r="J79" s="15"/>
      <c r="K79" s="15"/>
      <c r="L79" s="15"/>
      <c r="M79" s="15"/>
      <c r="N79" s="15"/>
      <c r="O79" s="15"/>
      <c r="P79" s="15"/>
      <c r="Q79" s="15"/>
      <c r="R79" s="15"/>
      <c r="S79" s="15"/>
      <c r="T79" s="15"/>
      <c r="U79" s="15"/>
      <c r="V79" s="15"/>
      <c r="W79" s="15"/>
      <c r="X79" s="15"/>
      <c r="Y79" s="15"/>
      <c r="Z79" s="15"/>
      <c r="AA79" s="15"/>
      <c r="AB79" s="15"/>
      <c r="AC79" s="15"/>
      <c r="AD79" s="15"/>
      <c r="AE79" s="40" t="s">
        <v>815</v>
      </c>
      <c r="AF79" s="53" t="s">
        <v>773</v>
      </c>
      <c r="AG79" s="1140">
        <v>0</v>
      </c>
      <c r="AH79" s="1141"/>
      <c r="AI79" s="1141"/>
      <c r="AJ79" s="1141"/>
      <c r="AK79" s="1142"/>
      <c r="AL79" s="75"/>
    </row>
    <row r="80" spans="1:39" ht="18.75" customHeight="1" x14ac:dyDescent="0.35">
      <c r="A80" s="99" t="s">
        <v>2153</v>
      </c>
      <c r="B80" s="15"/>
      <c r="C80" s="15"/>
      <c r="D80" s="43"/>
      <c r="E80" s="43"/>
      <c r="F80" s="43"/>
      <c r="G80" s="43"/>
      <c r="H80" s="15"/>
      <c r="I80" s="15"/>
      <c r="J80" s="15"/>
      <c r="K80" s="15"/>
      <c r="L80" s="15"/>
      <c r="M80" s="15"/>
      <c r="N80" s="15"/>
      <c r="O80" s="15"/>
      <c r="P80" s="15"/>
      <c r="Q80" s="15"/>
      <c r="R80" s="15"/>
      <c r="S80" s="15"/>
      <c r="T80" s="15"/>
      <c r="U80" s="15"/>
      <c r="V80" s="15"/>
      <c r="W80" s="15"/>
      <c r="X80" s="15"/>
      <c r="Y80" s="15"/>
      <c r="Z80" s="15"/>
      <c r="AA80" s="15"/>
      <c r="AB80" s="15"/>
      <c r="AC80" s="15"/>
      <c r="AD80" s="15"/>
      <c r="AE80" s="40" t="s">
        <v>814</v>
      </c>
      <c r="AF80" s="53" t="s">
        <v>773</v>
      </c>
      <c r="AG80" s="1140">
        <v>0</v>
      </c>
      <c r="AH80" s="1141"/>
      <c r="AI80" s="1141"/>
      <c r="AJ80" s="1141"/>
      <c r="AK80" s="1142"/>
      <c r="AL80" s="75"/>
    </row>
    <row r="81" spans="1:39" ht="18.75" customHeight="1" x14ac:dyDescent="0.35">
      <c r="A81" s="1188" t="s">
        <v>813</v>
      </c>
      <c r="B81" s="1132"/>
      <c r="C81" s="1133"/>
      <c r="D81" s="98" t="s">
        <v>2154</v>
      </c>
      <c r="E81" s="91"/>
      <c r="F81" s="91"/>
      <c r="G81" s="91"/>
      <c r="H81" s="91"/>
      <c r="I81" s="97"/>
      <c r="J81" s="97"/>
      <c r="K81" s="97"/>
      <c r="L81" s="97"/>
      <c r="M81" s="97"/>
      <c r="N81" s="97"/>
      <c r="O81" s="97"/>
      <c r="P81" s="97"/>
      <c r="Q81" s="97"/>
      <c r="R81" s="97"/>
      <c r="S81" s="97"/>
      <c r="T81" s="97"/>
      <c r="U81" s="97"/>
      <c r="V81" s="97"/>
      <c r="W81" s="97"/>
      <c r="X81" s="97"/>
      <c r="Y81" s="97"/>
      <c r="Z81" s="1191"/>
      <c r="AA81" s="1191"/>
      <c r="AB81" s="1191"/>
      <c r="AC81" s="97"/>
      <c r="AD81" s="97"/>
      <c r="AE81" s="72" t="s">
        <v>812</v>
      </c>
      <c r="AF81" s="96" t="s">
        <v>771</v>
      </c>
      <c r="AG81" s="1085">
        <f>IF((AG66-AG67-AG68-AG69-AG70-AG71-AG72-AG73-AG74+AG76+AG77+AG78+AG79+AG80)&lt;0,ABS((AG66-AG67-AG68-AG69-AG70-AG71-AG72-AG73-AG74+AG76+AG77+AG78+AG79+AG80))-AG82-AG83-AG84,0)</f>
        <v>0</v>
      </c>
      <c r="AH81" s="1086"/>
      <c r="AI81" s="1086"/>
      <c r="AJ81" s="1086"/>
      <c r="AK81" s="1088"/>
      <c r="AM81" s="95"/>
    </row>
    <row r="82" spans="1:39" ht="18.75" customHeight="1" x14ac:dyDescent="0.35">
      <c r="A82" s="1189"/>
      <c r="B82" s="1135"/>
      <c r="C82" s="1136"/>
      <c r="D82" s="92" t="s">
        <v>2140</v>
      </c>
      <c r="E82" s="91"/>
      <c r="F82" s="91"/>
      <c r="G82" s="91"/>
      <c r="H82" s="91"/>
      <c r="I82" s="91"/>
      <c r="J82" s="91"/>
      <c r="K82" s="91"/>
      <c r="L82" s="91"/>
      <c r="M82" s="91"/>
      <c r="N82" s="91"/>
      <c r="O82" s="91"/>
      <c r="P82" s="91"/>
      <c r="Q82" s="91"/>
      <c r="R82" s="91"/>
      <c r="S82" s="91"/>
      <c r="T82" s="91"/>
      <c r="U82" s="91"/>
      <c r="V82" s="91"/>
      <c r="W82" s="91"/>
      <c r="X82" s="91"/>
      <c r="Y82" s="91"/>
      <c r="Z82" s="91"/>
      <c r="AA82" s="91"/>
      <c r="AB82" s="91"/>
      <c r="AC82" s="91"/>
      <c r="AD82" s="90"/>
      <c r="AE82" s="36" t="s">
        <v>811</v>
      </c>
      <c r="AF82" s="84" t="s">
        <v>771</v>
      </c>
      <c r="AG82" s="1085">
        <f>IF((AG66-AG67-AG68-AG69-AG70-AG71-AG72-AG73-AG74+AG76+AG77+AG78+AG79+AG80)&lt;0,IF((AG66-AG67-AG68-AG69-AG70-AG73+AG76+AG77+AG78+AG79+AG80)&lt;0,(AG71+AG74),IF((AG71+AG74-(AG66-AG67-AG68-AG69-AG70-AG72-AG73+AG76+AG77+AG78+AG79+AG80))&lt;0,0,(AG71+AG74-(AG66-AG67-AG68-AG69-AG70-AG72-AG73+AG76+AG77+AG78+AG79+AG80)))),0)</f>
        <v>0</v>
      </c>
      <c r="AH82" s="1086"/>
      <c r="AI82" s="1086"/>
      <c r="AJ82" s="1086"/>
      <c r="AK82" s="1088"/>
      <c r="AM82" s="95"/>
    </row>
    <row r="83" spans="1:39" s="75" customFormat="1" ht="18.75" customHeight="1" x14ac:dyDescent="0.35">
      <c r="A83" s="1189"/>
      <c r="B83" s="1135"/>
      <c r="C83" s="1136"/>
      <c r="D83" s="92" t="s">
        <v>2155</v>
      </c>
      <c r="E83" s="94"/>
      <c r="F83" s="94"/>
      <c r="G83" s="94"/>
      <c r="H83" s="94"/>
      <c r="I83" s="94"/>
      <c r="J83" s="94"/>
      <c r="K83" s="94"/>
      <c r="L83" s="94"/>
      <c r="M83" s="94"/>
      <c r="N83" s="94"/>
      <c r="O83" s="94"/>
      <c r="P83" s="94"/>
      <c r="Q83" s="94"/>
      <c r="R83" s="94"/>
      <c r="S83" s="94"/>
      <c r="T83" s="94"/>
      <c r="U83" s="94"/>
      <c r="V83" s="94"/>
      <c r="W83" s="94"/>
      <c r="X83" s="94"/>
      <c r="Y83" s="94"/>
      <c r="Z83" s="94"/>
      <c r="AA83" s="94"/>
      <c r="AB83" s="94"/>
      <c r="AC83" s="94"/>
      <c r="AD83" s="93"/>
      <c r="AE83" s="36" t="s">
        <v>810</v>
      </c>
      <c r="AF83" s="84" t="s">
        <v>771</v>
      </c>
      <c r="AG83" s="1085">
        <v>0</v>
      </c>
      <c r="AH83" s="1086"/>
      <c r="AI83" s="1086"/>
      <c r="AJ83" s="1086"/>
      <c r="AK83" s="1088"/>
    </row>
    <row r="84" spans="1:39" s="75" customFormat="1" ht="18.75" customHeight="1" x14ac:dyDescent="0.35">
      <c r="A84" s="1190"/>
      <c r="B84" s="1138"/>
      <c r="C84" s="1139"/>
      <c r="D84" s="92" t="s">
        <v>2142</v>
      </c>
      <c r="E84" s="91"/>
      <c r="F84" s="91"/>
      <c r="G84" s="91"/>
      <c r="H84" s="91"/>
      <c r="I84" s="91"/>
      <c r="J84" s="91"/>
      <c r="K84" s="91"/>
      <c r="L84" s="91"/>
      <c r="M84" s="91"/>
      <c r="N84" s="91"/>
      <c r="O84" s="91"/>
      <c r="P84" s="91"/>
      <c r="Q84" s="91"/>
      <c r="R84" s="91"/>
      <c r="S84" s="91"/>
      <c r="T84" s="91"/>
      <c r="U84" s="91"/>
      <c r="V84" s="91"/>
      <c r="W84" s="91"/>
      <c r="X84" s="91"/>
      <c r="Y84" s="91"/>
      <c r="Z84" s="91"/>
      <c r="AA84" s="91"/>
      <c r="AB84" s="91"/>
      <c r="AC84" s="91"/>
      <c r="AD84" s="90"/>
      <c r="AE84" s="36" t="s">
        <v>809</v>
      </c>
      <c r="AF84" s="52" t="s">
        <v>771</v>
      </c>
      <c r="AG84" s="1122">
        <f>IF((AG66-AG67-AG68-AG69-AG70-AG71-AG72-AG73-AG74+AG76+AG77+AG78+AG79+AG80)&lt;0,IF((AG69+AG73-AG77)&gt;0,IF((AG66-AG67-AG68)-(AG69+AG73-AG77)&gt;0,0,(AG69+AG73-AG77)-(AG66-AG68)),0),0)</f>
        <v>0</v>
      </c>
      <c r="AH84" s="1086"/>
      <c r="AI84" s="1086"/>
      <c r="AJ84" s="1086"/>
      <c r="AK84" s="1088"/>
      <c r="AL84" s="3"/>
      <c r="AM84" s="89"/>
    </row>
    <row r="85" spans="1:39" ht="18.75" customHeight="1" thickBot="1" x14ac:dyDescent="0.4">
      <c r="A85" s="88" t="s">
        <v>808</v>
      </c>
      <c r="B85" s="87"/>
      <c r="C85" s="87"/>
      <c r="D85" s="75"/>
      <c r="E85" s="75"/>
      <c r="F85" s="75"/>
      <c r="G85" s="75"/>
      <c r="H85" s="75"/>
      <c r="I85" s="75"/>
      <c r="J85" s="75"/>
      <c r="K85" s="75"/>
      <c r="L85" s="75"/>
      <c r="M85" s="75"/>
      <c r="N85" s="75"/>
      <c r="O85" s="75"/>
      <c r="P85" s="75"/>
      <c r="Q85" s="75"/>
      <c r="R85" s="75"/>
      <c r="S85" s="75"/>
      <c r="T85" s="75"/>
      <c r="U85" s="75"/>
      <c r="V85" s="75"/>
      <c r="W85" s="75"/>
      <c r="X85" s="75"/>
      <c r="Y85" s="75"/>
      <c r="Z85" s="75"/>
      <c r="AA85" s="75"/>
      <c r="AB85" s="75"/>
      <c r="AC85" s="75"/>
      <c r="AD85" s="86" t="s">
        <v>2156</v>
      </c>
      <c r="AE85" s="85" t="s">
        <v>807</v>
      </c>
      <c r="AF85" s="84" t="s">
        <v>771</v>
      </c>
      <c r="AG85" s="1209">
        <f>IF((AG66-AG67-AG68-AG69-AG70-AG71-AG72-AG73-AG74+AG76+AG77+AG78+AG79+AG80)&gt;0,(AG66-AG67-AG68-AG69-AG70-AG71-AG72-AG73-AG74+AG76+AG77+AG78+AG79+AG80),0)</f>
        <v>0</v>
      </c>
      <c r="AH85" s="1210"/>
      <c r="AI85" s="1210"/>
      <c r="AJ85" s="1210"/>
      <c r="AK85" s="1211"/>
      <c r="AM85" s="83"/>
    </row>
    <row r="86" spans="1:39" s="75" customFormat="1" ht="18.75" customHeight="1" thickBot="1" x14ac:dyDescent="0.4">
      <c r="A86" s="82" t="s">
        <v>2157</v>
      </c>
      <c r="B86" s="57"/>
      <c r="C86" s="57"/>
      <c r="D86" s="57"/>
      <c r="E86" s="57"/>
      <c r="F86" s="57"/>
      <c r="G86" s="57"/>
      <c r="H86" s="57"/>
      <c r="I86" s="57"/>
      <c r="J86" s="57"/>
      <c r="K86" s="57"/>
      <c r="L86" s="57"/>
      <c r="M86" s="57"/>
      <c r="N86" s="57"/>
      <c r="O86" s="57"/>
      <c r="P86" s="57"/>
      <c r="Q86" s="57"/>
      <c r="R86" s="57"/>
      <c r="S86" s="57"/>
      <c r="T86" s="57"/>
      <c r="U86" s="57"/>
      <c r="V86" s="57"/>
      <c r="W86" s="57"/>
      <c r="X86" s="57"/>
      <c r="Y86" s="57"/>
      <c r="Z86" s="57"/>
      <c r="AA86" s="57"/>
      <c r="AB86" s="57"/>
      <c r="AC86" s="57"/>
      <c r="AD86" s="81"/>
      <c r="AE86" s="80" t="s">
        <v>806</v>
      </c>
      <c r="AF86" s="79" t="s">
        <v>773</v>
      </c>
      <c r="AG86" s="1156">
        <v>0</v>
      </c>
      <c r="AH86" s="1154"/>
      <c r="AI86" s="1154"/>
      <c r="AJ86" s="1154"/>
      <c r="AK86" s="1155"/>
    </row>
    <row r="87" spans="1:39" ht="18.75" customHeight="1" thickBot="1" x14ac:dyDescent="0.4">
      <c r="A87" s="71" t="s">
        <v>2158</v>
      </c>
      <c r="B87" s="33"/>
      <c r="C87" s="33"/>
      <c r="D87" s="33"/>
      <c r="E87" s="33"/>
      <c r="F87" s="34"/>
      <c r="G87" s="33"/>
      <c r="H87" s="33"/>
      <c r="I87" s="33"/>
      <c r="J87" s="33"/>
      <c r="K87" s="33"/>
      <c r="L87" s="33"/>
      <c r="M87" s="33"/>
      <c r="N87" s="33"/>
      <c r="O87" s="33"/>
      <c r="P87" s="33"/>
      <c r="Q87" s="33"/>
      <c r="R87" s="33"/>
      <c r="S87" s="33"/>
      <c r="T87" s="33"/>
      <c r="U87" s="33"/>
      <c r="V87" s="33"/>
      <c r="W87" s="33"/>
      <c r="X87" s="33"/>
      <c r="Y87" s="33"/>
      <c r="Z87" s="33"/>
      <c r="AA87" s="33"/>
      <c r="AB87" s="33"/>
      <c r="AC87" s="33"/>
      <c r="AD87" s="70" t="s">
        <v>805</v>
      </c>
      <c r="AE87" s="59" t="s">
        <v>804</v>
      </c>
      <c r="AF87" s="58" t="s">
        <v>771</v>
      </c>
      <c r="AG87" s="1094">
        <f>+AG85+AG86</f>
        <v>0</v>
      </c>
      <c r="AH87" s="1095"/>
      <c r="AI87" s="1095"/>
      <c r="AJ87" s="1095"/>
      <c r="AK87" s="1130"/>
    </row>
    <row r="88" spans="1:39" ht="8.25" customHeight="1" thickBot="1" x14ac:dyDescent="0.4">
      <c r="A88" s="64"/>
      <c r="B88" s="33"/>
      <c r="C88" s="33"/>
      <c r="D88" s="33"/>
      <c r="E88" s="33"/>
      <c r="F88" s="33"/>
      <c r="G88" s="33"/>
      <c r="H88" s="33"/>
      <c r="I88" s="33"/>
      <c r="J88" s="33"/>
      <c r="K88" s="33"/>
      <c r="L88" s="33"/>
      <c r="M88" s="33"/>
      <c r="N88" s="33"/>
      <c r="O88" s="33"/>
      <c r="P88" s="33"/>
      <c r="Q88" s="33"/>
      <c r="R88" s="33"/>
      <c r="S88" s="33"/>
      <c r="T88" s="33"/>
      <c r="U88" s="33"/>
      <c r="V88" s="33"/>
      <c r="W88" s="33"/>
      <c r="X88" s="33"/>
      <c r="Y88" s="33"/>
      <c r="Z88" s="33"/>
      <c r="AA88" s="33"/>
      <c r="AB88" s="33"/>
      <c r="AC88" s="33"/>
      <c r="AD88" s="33"/>
      <c r="AE88" s="33"/>
      <c r="AF88" s="33"/>
      <c r="AG88" s="33"/>
      <c r="AH88" s="33"/>
      <c r="AI88" s="33"/>
      <c r="AJ88" s="33"/>
      <c r="AK88" s="78"/>
    </row>
    <row r="89" spans="1:39" ht="19.5" customHeight="1" thickBot="1" x14ac:dyDescent="0.4">
      <c r="A89" s="50" t="s">
        <v>803</v>
      </c>
      <c r="B89" s="49"/>
      <c r="C89" s="49"/>
      <c r="D89" s="49"/>
      <c r="E89" s="49"/>
      <c r="F89" s="49"/>
      <c r="G89" s="49"/>
      <c r="H89" s="49"/>
      <c r="I89" s="49"/>
      <c r="J89" s="49"/>
      <c r="K89" s="49"/>
      <c r="L89" s="49"/>
      <c r="M89" s="49"/>
      <c r="N89" s="49"/>
      <c r="O89" s="49"/>
      <c r="P89" s="49"/>
      <c r="Q89" s="49"/>
      <c r="R89" s="49"/>
      <c r="S89" s="49"/>
      <c r="T89" s="49"/>
      <c r="U89" s="49"/>
      <c r="V89" s="49"/>
      <c r="W89" s="49"/>
      <c r="X89" s="49"/>
      <c r="Y89" s="49"/>
      <c r="Z89" s="49"/>
      <c r="AA89" s="49"/>
      <c r="AB89" s="49"/>
      <c r="AC89" s="49"/>
      <c r="AD89" s="49"/>
      <c r="AE89" s="49"/>
      <c r="AF89" s="49"/>
      <c r="AG89" s="49"/>
      <c r="AH89" s="49"/>
      <c r="AI89" s="49"/>
      <c r="AJ89" s="49"/>
      <c r="AK89" s="48"/>
    </row>
    <row r="90" spans="1:39" ht="18.75" customHeight="1" x14ac:dyDescent="0.35">
      <c r="A90" s="44" t="s">
        <v>2160</v>
      </c>
      <c r="B90" s="43"/>
      <c r="C90" s="43"/>
      <c r="D90" s="43"/>
      <c r="E90" s="43"/>
      <c r="F90" s="43"/>
      <c r="G90" s="43"/>
      <c r="H90" s="43"/>
      <c r="I90" s="43"/>
      <c r="J90" s="43"/>
      <c r="K90" s="43"/>
      <c r="L90" s="43"/>
      <c r="M90" s="43"/>
      <c r="N90" s="43"/>
      <c r="O90" s="43"/>
      <c r="P90" s="43"/>
      <c r="Q90" s="43"/>
      <c r="R90" s="43"/>
      <c r="S90" s="43"/>
      <c r="T90" s="43"/>
      <c r="U90" s="21"/>
      <c r="V90" s="43"/>
      <c r="W90" s="43"/>
      <c r="X90" s="43"/>
      <c r="Y90" s="43"/>
      <c r="Z90" s="43"/>
      <c r="AA90" s="43"/>
      <c r="AB90" s="43"/>
      <c r="AC90" s="43"/>
      <c r="AD90" s="43"/>
      <c r="AE90" s="40" t="s">
        <v>802</v>
      </c>
      <c r="AF90" s="74" t="s">
        <v>773</v>
      </c>
      <c r="AG90" s="1157">
        <f>SUMIF(COMPRAS!DC:DC,"SI",COMPRAS!CC:CC)</f>
        <v>0</v>
      </c>
      <c r="AH90" s="1152"/>
      <c r="AI90" s="1152"/>
      <c r="AJ90" s="1152"/>
      <c r="AK90" s="1153"/>
    </row>
    <row r="91" spans="1:39" ht="18.75" customHeight="1" x14ac:dyDescent="0.35">
      <c r="A91" s="41" t="s">
        <v>2161</v>
      </c>
      <c r="B91" s="15"/>
      <c r="C91" s="15"/>
      <c r="D91" s="15"/>
      <c r="E91" s="15"/>
      <c r="F91" s="15"/>
      <c r="G91" s="15"/>
      <c r="H91" s="15"/>
      <c r="I91" s="15"/>
      <c r="J91" s="15"/>
      <c r="K91" s="15"/>
      <c r="L91" s="15"/>
      <c r="M91" s="15"/>
      <c r="N91" s="15"/>
      <c r="O91" s="15"/>
      <c r="P91" s="15"/>
      <c r="Q91" s="15"/>
      <c r="R91" s="15"/>
      <c r="S91" s="15"/>
      <c r="T91" s="15"/>
      <c r="U91" s="73"/>
      <c r="V91" s="15"/>
      <c r="W91" s="15"/>
      <c r="X91" s="15"/>
      <c r="Y91" s="15"/>
      <c r="Z91" s="15"/>
      <c r="AA91" s="15"/>
      <c r="AB91" s="15"/>
      <c r="AC91" s="15"/>
      <c r="AD91" s="15"/>
      <c r="AE91" s="72" t="s">
        <v>801</v>
      </c>
      <c r="AF91" s="74" t="s">
        <v>773</v>
      </c>
      <c r="AG91" s="1085">
        <f>SUMIF(COMPRAS!DC:DC,"SI",COMPRAS!CD:CD)</f>
        <v>0</v>
      </c>
      <c r="AH91" s="1086"/>
      <c r="AI91" s="1086"/>
      <c r="AJ91" s="1086"/>
      <c r="AK91" s="1088"/>
    </row>
    <row r="92" spans="1:39" ht="18.75" customHeight="1" x14ac:dyDescent="0.35">
      <c r="A92" s="41" t="s">
        <v>2162</v>
      </c>
      <c r="B92" s="15"/>
      <c r="C92" s="15"/>
      <c r="D92" s="15"/>
      <c r="E92" s="15"/>
      <c r="F92" s="15"/>
      <c r="G92" s="15"/>
      <c r="H92" s="15"/>
      <c r="I92" s="15"/>
      <c r="J92" s="15"/>
      <c r="K92" s="15"/>
      <c r="L92" s="15"/>
      <c r="M92" s="15"/>
      <c r="N92" s="15"/>
      <c r="O92" s="15"/>
      <c r="P92" s="15"/>
      <c r="Q92" s="15"/>
      <c r="R92" s="15"/>
      <c r="S92" s="15"/>
      <c r="T92" s="15"/>
      <c r="U92" s="73"/>
      <c r="V92" s="15"/>
      <c r="W92" s="15"/>
      <c r="X92" s="15"/>
      <c r="Y92" s="15"/>
      <c r="Z92" s="15"/>
      <c r="AA92" s="15"/>
      <c r="AB92" s="15"/>
      <c r="AC92" s="15"/>
      <c r="AD92" s="15"/>
      <c r="AE92" s="72" t="s">
        <v>800</v>
      </c>
      <c r="AF92" s="74" t="s">
        <v>773</v>
      </c>
      <c r="AG92" s="1085">
        <f>SUMIF(COMPRAS!DC:DC,"SI",COMPRAS!CE:CE)</f>
        <v>0</v>
      </c>
      <c r="AH92" s="1086"/>
      <c r="AI92" s="1086"/>
      <c r="AJ92" s="1086"/>
      <c r="AK92" s="1088"/>
    </row>
    <row r="93" spans="1:39" s="75" customFormat="1" ht="18.75" customHeight="1" x14ac:dyDescent="0.35">
      <c r="A93" s="41" t="s">
        <v>2163</v>
      </c>
      <c r="B93" s="76"/>
      <c r="C93" s="76"/>
      <c r="D93" s="76"/>
      <c r="E93" s="76"/>
      <c r="F93" s="76"/>
      <c r="G93" s="76"/>
      <c r="H93" s="76"/>
      <c r="I93" s="76"/>
      <c r="J93" s="76"/>
      <c r="K93" s="76"/>
      <c r="L93" s="76"/>
      <c r="M93" s="76"/>
      <c r="N93" s="76"/>
      <c r="O93" s="76"/>
      <c r="P93" s="76"/>
      <c r="Q93" s="76"/>
      <c r="R93" s="76"/>
      <c r="S93" s="76"/>
      <c r="T93" s="76"/>
      <c r="U93" s="77"/>
      <c r="V93" s="76"/>
      <c r="W93" s="76"/>
      <c r="X93" s="76"/>
      <c r="Y93" s="76"/>
      <c r="Z93" s="76"/>
      <c r="AA93" s="76"/>
      <c r="AB93" s="76"/>
      <c r="AC93" s="76"/>
      <c r="AD93" s="76"/>
      <c r="AE93" s="72" t="s">
        <v>799</v>
      </c>
      <c r="AF93" s="74" t="s">
        <v>773</v>
      </c>
      <c r="AG93" s="1085">
        <f>SUMIF(COMPRAS!DC:DC,"SI",COMPRAS!CF:CF)</f>
        <v>0</v>
      </c>
      <c r="AH93" s="1086"/>
      <c r="AI93" s="1086"/>
      <c r="AJ93" s="1086"/>
      <c r="AK93" s="1088"/>
    </row>
    <row r="94" spans="1:39" ht="18.75" customHeight="1" x14ac:dyDescent="0.35">
      <c r="A94" s="41" t="s">
        <v>2164</v>
      </c>
      <c r="B94" s="15"/>
      <c r="C94" s="15"/>
      <c r="D94" s="15"/>
      <c r="E94" s="15"/>
      <c r="F94" s="15"/>
      <c r="G94" s="15"/>
      <c r="H94" s="15"/>
      <c r="I94" s="15"/>
      <c r="J94" s="15"/>
      <c r="K94" s="15"/>
      <c r="L94" s="15"/>
      <c r="M94" s="15"/>
      <c r="N94" s="15"/>
      <c r="O94" s="15"/>
      <c r="P94" s="15"/>
      <c r="Q94" s="15"/>
      <c r="R94" s="15"/>
      <c r="S94" s="15"/>
      <c r="T94" s="15"/>
      <c r="U94" s="73"/>
      <c r="V94" s="15"/>
      <c r="W94" s="15"/>
      <c r="X94" s="15"/>
      <c r="Y94" s="15"/>
      <c r="Z94" s="15"/>
      <c r="AA94" s="15"/>
      <c r="AB94" s="15"/>
      <c r="AC94" s="15"/>
      <c r="AD94" s="15"/>
      <c r="AE94" s="72" t="s">
        <v>798</v>
      </c>
      <c r="AF94" s="74" t="s">
        <v>773</v>
      </c>
      <c r="AG94" s="1085">
        <f>SUMIF(COMPRAS!DC:DC,"SI",COMPRAS!CG:CG)</f>
        <v>0</v>
      </c>
      <c r="AH94" s="1086"/>
      <c r="AI94" s="1086"/>
      <c r="AJ94" s="1086"/>
      <c r="AK94" s="1088"/>
    </row>
    <row r="95" spans="1:39" ht="18.75" customHeight="1" thickBot="1" x14ac:dyDescent="0.4">
      <c r="A95" s="41" t="s">
        <v>2165</v>
      </c>
      <c r="B95" s="15"/>
      <c r="C95" s="15"/>
      <c r="D95" s="15"/>
      <c r="E95" s="15"/>
      <c r="F95" s="15"/>
      <c r="G95" s="15"/>
      <c r="H95" s="15"/>
      <c r="I95" s="15"/>
      <c r="J95" s="15"/>
      <c r="K95" s="15"/>
      <c r="L95" s="15"/>
      <c r="M95" s="15"/>
      <c r="N95" s="15"/>
      <c r="O95" s="15"/>
      <c r="P95" s="15"/>
      <c r="Q95" s="15"/>
      <c r="R95" s="15"/>
      <c r="S95" s="15"/>
      <c r="T95" s="15"/>
      <c r="U95" s="73"/>
      <c r="V95" s="15"/>
      <c r="W95" s="15"/>
      <c r="X95" s="15"/>
      <c r="Y95" s="15"/>
      <c r="Z95" s="15"/>
      <c r="AA95" s="15"/>
      <c r="AB95" s="15"/>
      <c r="AC95" s="15"/>
      <c r="AD95" s="15"/>
      <c r="AE95" s="72" t="s">
        <v>797</v>
      </c>
      <c r="AF95" s="74" t="s">
        <v>773</v>
      </c>
      <c r="AG95" s="1097">
        <f>SUMIF(COMPRAS!DC:DC,"SI",COMPRAS!CH:CH)+SUMIF(COMPRAS!DC:DC,"SI",COMPRAS!CI:CI)</f>
        <v>0</v>
      </c>
      <c r="AH95" s="1098"/>
      <c r="AI95" s="1098"/>
      <c r="AJ95" s="1098"/>
      <c r="AK95" s="1143"/>
    </row>
    <row r="96" spans="1:39" ht="18.75" customHeight="1" thickBot="1" x14ac:dyDescent="0.4">
      <c r="A96" s="71" t="s">
        <v>796</v>
      </c>
      <c r="B96" s="33"/>
      <c r="C96" s="33"/>
      <c r="D96" s="33"/>
      <c r="E96" s="33"/>
      <c r="F96" s="33"/>
      <c r="G96" s="33"/>
      <c r="H96" s="33"/>
      <c r="I96" s="33"/>
      <c r="J96" s="33"/>
      <c r="K96" s="33"/>
      <c r="L96" s="33"/>
      <c r="M96" s="33"/>
      <c r="N96" s="33"/>
      <c r="O96" s="33"/>
      <c r="P96" s="33"/>
      <c r="Q96" s="33"/>
      <c r="R96" s="33"/>
      <c r="S96" s="33"/>
      <c r="T96" s="33"/>
      <c r="U96" s="33"/>
      <c r="V96" s="33"/>
      <c r="W96" s="33"/>
      <c r="X96" s="33"/>
      <c r="Y96" s="33"/>
      <c r="Z96" s="33"/>
      <c r="AA96" s="33"/>
      <c r="AB96" s="33"/>
      <c r="AC96" s="33"/>
      <c r="AD96" s="70" t="s">
        <v>795</v>
      </c>
      <c r="AE96" s="59" t="s">
        <v>794</v>
      </c>
      <c r="AF96" s="58" t="s">
        <v>771</v>
      </c>
      <c r="AG96" s="1094">
        <f>SUM(AG90:AK95)</f>
        <v>0</v>
      </c>
      <c r="AH96" s="1095"/>
      <c r="AI96" s="1095"/>
      <c r="AJ96" s="1095"/>
      <c r="AK96" s="1130"/>
    </row>
    <row r="97" spans="1:37" ht="8.25" customHeight="1" thickBot="1" x14ac:dyDescent="0.4">
      <c r="A97" s="64"/>
      <c r="B97" s="33"/>
      <c r="C97" s="33"/>
      <c r="D97" s="33"/>
      <c r="E97" s="33"/>
      <c r="F97" s="33"/>
      <c r="G97" s="33"/>
      <c r="H97" s="33"/>
      <c r="I97" s="33"/>
      <c r="J97" s="33"/>
      <c r="K97" s="33"/>
      <c r="L97" s="33"/>
      <c r="M97" s="33"/>
      <c r="N97" s="33"/>
      <c r="O97" s="33"/>
      <c r="P97" s="33"/>
      <c r="Q97" s="33"/>
      <c r="R97" s="33"/>
      <c r="S97" s="33"/>
      <c r="T97" s="33"/>
      <c r="U97" s="33"/>
      <c r="V97" s="33"/>
      <c r="W97" s="33"/>
      <c r="X97" s="33"/>
      <c r="Y97" s="33"/>
      <c r="Z97" s="33"/>
      <c r="AA97" s="33"/>
      <c r="AB97" s="33"/>
      <c r="AC97" s="33"/>
      <c r="AD97" s="33"/>
      <c r="AE97" s="63"/>
      <c r="AF97" s="63"/>
      <c r="AG97" s="62"/>
      <c r="AH97" s="62"/>
      <c r="AI97" s="62"/>
      <c r="AJ97" s="62"/>
      <c r="AK97" s="61"/>
    </row>
    <row r="98" spans="1:37" ht="18.75" customHeight="1" x14ac:dyDescent="0.35">
      <c r="A98" s="41" t="s">
        <v>2166</v>
      </c>
      <c r="B98" s="15"/>
      <c r="C98" s="15"/>
      <c r="D98" s="15"/>
      <c r="E98" s="15"/>
      <c r="F98" s="15"/>
      <c r="G98" s="15"/>
      <c r="H98" s="15"/>
      <c r="I98" s="15"/>
      <c r="J98" s="15"/>
      <c r="K98" s="15"/>
      <c r="L98" s="15"/>
      <c r="M98" s="15"/>
      <c r="N98" s="15"/>
      <c r="O98" s="15"/>
      <c r="P98" s="15"/>
      <c r="Q98" s="15"/>
      <c r="R98" s="15"/>
      <c r="S98" s="15"/>
      <c r="T98" s="15"/>
      <c r="U98" s="73"/>
      <c r="V98" s="15"/>
      <c r="W98" s="15"/>
      <c r="X98" s="15"/>
      <c r="Y98" s="15"/>
      <c r="Z98" s="15"/>
      <c r="AA98" s="15"/>
      <c r="AB98" s="15"/>
      <c r="AC98" s="15"/>
      <c r="AD98" s="15"/>
      <c r="AE98" s="72" t="s">
        <v>793</v>
      </c>
      <c r="AF98" s="53" t="s">
        <v>792</v>
      </c>
      <c r="AG98" s="1157">
        <v>0</v>
      </c>
      <c r="AH98" s="1152"/>
      <c r="AI98" s="1152"/>
      <c r="AJ98" s="1152"/>
      <c r="AK98" s="1153"/>
    </row>
    <row r="99" spans="1:37" ht="18.75" customHeight="1" thickBot="1" x14ac:dyDescent="0.4">
      <c r="A99" s="41" t="s">
        <v>2167</v>
      </c>
      <c r="B99" s="15"/>
      <c r="C99" s="15"/>
      <c r="D99" s="15"/>
      <c r="E99" s="15"/>
      <c r="F99" s="15"/>
      <c r="G99" s="15"/>
      <c r="H99" s="15"/>
      <c r="I99" s="15"/>
      <c r="J99" s="15"/>
      <c r="K99" s="15"/>
      <c r="L99" s="15"/>
      <c r="M99" s="15"/>
      <c r="N99" s="15"/>
      <c r="O99" s="15"/>
      <c r="P99" s="15"/>
      <c r="Q99" s="15"/>
      <c r="R99" s="15"/>
      <c r="S99" s="15"/>
      <c r="T99" s="15"/>
      <c r="U99" s="73"/>
      <c r="V99" s="15"/>
      <c r="W99" s="15"/>
      <c r="X99" s="15"/>
      <c r="Y99" s="15"/>
      <c r="Z99" s="15"/>
      <c r="AA99" s="15"/>
      <c r="AB99" s="15"/>
      <c r="AC99" s="15"/>
      <c r="AD99" s="15"/>
      <c r="AE99" s="72" t="s">
        <v>2168</v>
      </c>
      <c r="AF99" s="74" t="s">
        <v>792</v>
      </c>
      <c r="AG99" s="1097">
        <f>SUMIF(COMPRAS!DC:DC,"SI",COMPRAS!CI:CI)</f>
        <v>0</v>
      </c>
      <c r="AH99" s="1098"/>
      <c r="AI99" s="1098"/>
      <c r="AJ99" s="1098"/>
      <c r="AK99" s="1143"/>
    </row>
    <row r="100" spans="1:37" ht="18.75" customHeight="1" thickBot="1" x14ac:dyDescent="0.4">
      <c r="A100" s="71" t="s">
        <v>791</v>
      </c>
      <c r="B100" s="33"/>
      <c r="C100" s="33"/>
      <c r="D100" s="33"/>
      <c r="E100" s="33"/>
      <c r="F100" s="33"/>
      <c r="G100" s="33"/>
      <c r="H100" s="33"/>
      <c r="I100" s="33"/>
      <c r="J100" s="33"/>
      <c r="K100" s="33"/>
      <c r="L100" s="33"/>
      <c r="M100" s="33"/>
      <c r="N100" s="33"/>
      <c r="O100" s="33"/>
      <c r="P100" s="33"/>
      <c r="Q100" s="33"/>
      <c r="R100" s="33"/>
      <c r="S100" s="33"/>
      <c r="T100" s="33"/>
      <c r="U100" s="33"/>
      <c r="V100" s="33"/>
      <c r="W100" s="33"/>
      <c r="X100" s="33"/>
      <c r="Y100" s="33"/>
      <c r="Z100" s="33"/>
      <c r="AA100" s="33"/>
      <c r="AB100" s="33"/>
      <c r="AC100" s="33"/>
      <c r="AD100" s="70" t="s">
        <v>2169</v>
      </c>
      <c r="AE100" s="59" t="s">
        <v>790</v>
      </c>
      <c r="AF100" s="58" t="s">
        <v>771</v>
      </c>
      <c r="AG100" s="1094">
        <f>AG96-AG98-AG99</f>
        <v>0</v>
      </c>
      <c r="AH100" s="1095"/>
      <c r="AI100" s="1095"/>
      <c r="AJ100" s="1095"/>
      <c r="AK100" s="1130"/>
    </row>
    <row r="101" spans="1:37" ht="8.25" customHeight="1" thickBot="1" x14ac:dyDescent="0.4">
      <c r="A101" s="64"/>
      <c r="B101" s="33"/>
      <c r="C101" s="33"/>
      <c r="D101" s="33"/>
      <c r="E101" s="33"/>
      <c r="F101" s="33"/>
      <c r="G101" s="33"/>
      <c r="H101" s="33"/>
      <c r="I101" s="33"/>
      <c r="J101" s="33"/>
      <c r="K101" s="33"/>
      <c r="L101" s="33"/>
      <c r="M101" s="33"/>
      <c r="N101" s="33"/>
      <c r="O101" s="33"/>
      <c r="P101" s="33"/>
      <c r="Q101" s="33"/>
      <c r="R101" s="33"/>
      <c r="S101" s="33"/>
      <c r="T101" s="33"/>
      <c r="U101" s="33"/>
      <c r="V101" s="33"/>
      <c r="W101" s="33"/>
      <c r="X101" s="33"/>
      <c r="Y101" s="33"/>
      <c r="Z101" s="33"/>
      <c r="AA101" s="33"/>
      <c r="AB101" s="33"/>
      <c r="AC101" s="33"/>
      <c r="AD101" s="33"/>
      <c r="AE101" s="63"/>
      <c r="AF101" s="63"/>
      <c r="AG101" s="62"/>
      <c r="AH101" s="62"/>
      <c r="AI101" s="62"/>
      <c r="AJ101" s="62"/>
      <c r="AK101" s="61"/>
    </row>
    <row r="102" spans="1:37" ht="18.75" customHeight="1" thickBot="1" x14ac:dyDescent="0.4">
      <c r="A102" s="64" t="s">
        <v>789</v>
      </c>
      <c r="B102" s="33"/>
      <c r="C102" s="33"/>
      <c r="D102" s="33"/>
      <c r="E102" s="33"/>
      <c r="F102" s="33"/>
      <c r="G102" s="33"/>
      <c r="H102" s="33"/>
      <c r="I102" s="33"/>
      <c r="J102" s="33"/>
      <c r="K102" s="33"/>
      <c r="L102" s="33"/>
      <c r="M102" s="33"/>
      <c r="N102" s="33"/>
      <c r="O102" s="33"/>
      <c r="P102" s="33"/>
      <c r="Q102" s="33"/>
      <c r="R102" s="33"/>
      <c r="S102" s="33"/>
      <c r="T102" s="33"/>
      <c r="U102" s="33"/>
      <c r="V102" s="33"/>
      <c r="W102" s="33"/>
      <c r="X102" s="33"/>
      <c r="Y102" s="33"/>
      <c r="Z102" s="33"/>
      <c r="AA102" s="33"/>
      <c r="AB102" s="33"/>
      <c r="AC102" s="33"/>
      <c r="AD102" s="70" t="s">
        <v>788</v>
      </c>
      <c r="AE102" s="59" t="s">
        <v>787</v>
      </c>
      <c r="AF102" s="58" t="s">
        <v>771</v>
      </c>
      <c r="AG102" s="1094">
        <f>+AG87+AG100</f>
        <v>0</v>
      </c>
      <c r="AH102" s="1095"/>
      <c r="AI102" s="1095"/>
      <c r="AJ102" s="1095"/>
      <c r="AK102" s="1130"/>
    </row>
    <row r="103" spans="1:37" ht="8.25" customHeight="1" thickBot="1" x14ac:dyDescent="0.4">
      <c r="A103" s="64"/>
      <c r="B103" s="33"/>
      <c r="C103" s="33"/>
      <c r="D103" s="33"/>
      <c r="E103" s="33"/>
      <c r="F103" s="33"/>
      <c r="G103" s="33"/>
      <c r="H103" s="33"/>
      <c r="I103" s="33"/>
      <c r="J103" s="33"/>
      <c r="K103" s="33"/>
      <c r="L103" s="33"/>
      <c r="M103" s="33"/>
      <c r="N103" s="33"/>
      <c r="O103" s="33"/>
      <c r="P103" s="33"/>
      <c r="Q103" s="33"/>
      <c r="R103" s="33"/>
      <c r="S103" s="33"/>
      <c r="T103" s="33"/>
      <c r="U103" s="33"/>
      <c r="V103" s="33"/>
      <c r="W103" s="33"/>
      <c r="X103" s="33"/>
      <c r="Y103" s="33"/>
      <c r="Z103" s="33"/>
      <c r="AA103" s="33"/>
      <c r="AB103" s="33"/>
      <c r="AC103" s="33"/>
      <c r="AD103" s="33"/>
      <c r="AE103" s="63"/>
      <c r="AF103" s="63"/>
      <c r="AG103" s="62"/>
      <c r="AH103" s="62"/>
      <c r="AI103" s="62"/>
      <c r="AJ103" s="62"/>
      <c r="AK103" s="61"/>
    </row>
    <row r="104" spans="1:37" ht="18.75" customHeight="1" thickBot="1" x14ac:dyDescent="0.4">
      <c r="A104" s="69" t="s">
        <v>786</v>
      </c>
      <c r="B104" s="33"/>
      <c r="C104" s="33"/>
      <c r="D104" s="33"/>
      <c r="E104" s="33"/>
      <c r="F104" s="33"/>
      <c r="G104" s="33"/>
      <c r="H104" s="33"/>
      <c r="I104" s="33"/>
      <c r="J104" s="33"/>
      <c r="K104" s="33"/>
      <c r="L104" s="33"/>
      <c r="M104" s="33"/>
      <c r="N104" s="33"/>
      <c r="O104" s="33"/>
      <c r="P104" s="33"/>
      <c r="Q104" s="33"/>
      <c r="R104" s="33"/>
      <c r="S104" s="33"/>
      <c r="T104" s="33"/>
      <c r="U104" s="33"/>
      <c r="V104" s="33"/>
      <c r="W104" s="33"/>
      <c r="X104" s="33"/>
      <c r="Y104" s="33"/>
      <c r="Z104" s="33"/>
      <c r="AA104" s="33"/>
      <c r="AB104" s="33"/>
      <c r="AC104" s="33"/>
      <c r="AD104" s="33"/>
      <c r="AE104" s="59" t="s">
        <v>785</v>
      </c>
      <c r="AF104" s="58" t="s">
        <v>771</v>
      </c>
      <c r="AG104" s="1156">
        <f>+I106+V106+AH106</f>
        <v>0</v>
      </c>
      <c r="AH104" s="1154"/>
      <c r="AI104" s="1154"/>
      <c r="AJ104" s="1154"/>
      <c r="AK104" s="1155"/>
    </row>
    <row r="105" spans="1:37" ht="28" customHeight="1" thickBot="1" x14ac:dyDescent="0.4">
      <c r="A105" s="1016" t="s">
        <v>1309</v>
      </c>
      <c r="B105" s="1017"/>
      <c r="C105" s="1017"/>
      <c r="D105" s="1017"/>
      <c r="E105" s="1017"/>
      <c r="F105" s="1017"/>
      <c r="G105" s="1017"/>
      <c r="H105" s="1017"/>
      <c r="I105" s="1017"/>
      <c r="J105" s="1017"/>
      <c r="K105" s="1017"/>
      <c r="L105" s="1017"/>
      <c r="M105" s="1017"/>
      <c r="N105" s="1017"/>
      <c r="O105" s="1017"/>
      <c r="P105" s="1017"/>
      <c r="Q105" s="1017"/>
      <c r="R105" s="1017"/>
      <c r="S105" s="1017"/>
      <c r="T105" s="1017"/>
      <c r="U105" s="1017"/>
      <c r="V105" s="1017"/>
      <c r="W105" s="1017"/>
      <c r="X105" s="1017"/>
      <c r="Y105" s="1017"/>
      <c r="Z105" s="1017"/>
      <c r="AA105" s="1017"/>
      <c r="AB105" s="1017"/>
      <c r="AC105" s="1017"/>
      <c r="AD105" s="1017"/>
      <c r="AE105" s="1017"/>
      <c r="AF105" s="1017"/>
      <c r="AG105" s="1017"/>
      <c r="AH105" s="1017"/>
      <c r="AI105" s="1017"/>
      <c r="AJ105" s="1017"/>
      <c r="AK105" s="1018"/>
    </row>
    <row r="106" spans="1:37" ht="18.75" customHeight="1" thickBot="1" x14ac:dyDescent="0.4">
      <c r="A106" s="1164" t="s">
        <v>783</v>
      </c>
      <c r="B106" s="1165"/>
      <c r="C106" s="1165"/>
      <c r="D106" s="1165"/>
      <c r="E106" s="1165"/>
      <c r="F106" s="1165"/>
      <c r="G106" s="68">
        <v>897</v>
      </c>
      <c r="H106" s="67" t="s">
        <v>756</v>
      </c>
      <c r="I106" s="1154">
        <v>0</v>
      </c>
      <c r="J106" s="1154"/>
      <c r="K106" s="1154"/>
      <c r="L106" s="1155"/>
      <c r="M106" s="1180" t="s">
        <v>782</v>
      </c>
      <c r="N106" s="1181"/>
      <c r="O106" s="1181"/>
      <c r="P106" s="1181"/>
      <c r="Q106" s="1181"/>
      <c r="R106" s="1181"/>
      <c r="S106" s="1181"/>
      <c r="T106" s="66">
        <v>898</v>
      </c>
      <c r="U106" s="67" t="s">
        <v>756</v>
      </c>
      <c r="V106" s="1154">
        <v>0</v>
      </c>
      <c r="W106" s="1154"/>
      <c r="X106" s="1154"/>
      <c r="Y106" s="1154"/>
      <c r="Z106" s="1155"/>
      <c r="AA106" s="1180" t="s">
        <v>781</v>
      </c>
      <c r="AB106" s="1181"/>
      <c r="AC106" s="1181"/>
      <c r="AD106" s="1181"/>
      <c r="AE106" s="1181"/>
      <c r="AF106" s="66">
        <v>899</v>
      </c>
      <c r="AG106" s="65" t="s">
        <v>756</v>
      </c>
      <c r="AH106" s="1154">
        <v>0</v>
      </c>
      <c r="AI106" s="1154"/>
      <c r="AJ106" s="1154"/>
      <c r="AK106" s="1155"/>
    </row>
    <row r="107" spans="1:37" ht="8.25" customHeight="1" thickBot="1" x14ac:dyDescent="0.4">
      <c r="A107" s="64"/>
      <c r="B107" s="33"/>
      <c r="C107" s="33"/>
      <c r="D107" s="33"/>
      <c r="E107" s="33"/>
      <c r="F107" s="33"/>
      <c r="G107" s="33"/>
      <c r="H107" s="33"/>
      <c r="I107" s="33"/>
      <c r="J107" s="33"/>
      <c r="K107" s="33"/>
      <c r="L107" s="33"/>
      <c r="M107" s="33"/>
      <c r="N107" s="33"/>
      <c r="O107" s="33"/>
      <c r="P107" s="33"/>
      <c r="Q107" s="33"/>
      <c r="R107" s="33"/>
      <c r="S107" s="33"/>
      <c r="T107" s="33"/>
      <c r="U107" s="33"/>
      <c r="V107" s="33"/>
      <c r="W107" s="33"/>
      <c r="X107" s="33"/>
      <c r="Y107" s="33"/>
      <c r="Z107" s="33"/>
      <c r="AA107" s="33"/>
      <c r="AB107" s="33"/>
      <c r="AC107" s="33"/>
      <c r="AD107" s="33"/>
      <c r="AE107" s="63"/>
      <c r="AF107" s="63"/>
      <c r="AG107" s="62"/>
      <c r="AH107" s="62"/>
      <c r="AI107" s="62"/>
      <c r="AJ107" s="62"/>
      <c r="AK107" s="61"/>
    </row>
    <row r="108" spans="1:37" ht="18.75" customHeight="1" thickBot="1" x14ac:dyDescent="0.4">
      <c r="A108" s="60" t="s">
        <v>2170</v>
      </c>
      <c r="B108" s="33"/>
      <c r="C108" s="33"/>
      <c r="D108" s="33"/>
      <c r="E108" s="33"/>
      <c r="F108" s="33"/>
      <c r="G108" s="33"/>
      <c r="H108" s="33"/>
      <c r="I108" s="33"/>
      <c r="J108" s="33"/>
      <c r="K108" s="33"/>
      <c r="L108" s="33"/>
      <c r="M108" s="33"/>
      <c r="N108" s="33"/>
      <c r="O108" s="33"/>
      <c r="P108" s="33"/>
      <c r="Q108" s="33"/>
      <c r="R108" s="33"/>
      <c r="S108" s="33"/>
      <c r="T108" s="33"/>
      <c r="U108" s="33"/>
      <c r="V108" s="33"/>
      <c r="W108" s="33"/>
      <c r="X108" s="33"/>
      <c r="Y108" s="33"/>
      <c r="Z108" s="33"/>
      <c r="AA108" s="33"/>
      <c r="AB108" s="33"/>
      <c r="AC108" s="33"/>
      <c r="AD108" s="33"/>
      <c r="AE108" s="59" t="s">
        <v>779</v>
      </c>
      <c r="AF108" s="58" t="s">
        <v>771</v>
      </c>
      <c r="AG108" s="1156">
        <v>0</v>
      </c>
      <c r="AH108" s="1154"/>
      <c r="AI108" s="1154"/>
      <c r="AJ108" s="1154"/>
      <c r="AK108" s="1155"/>
    </row>
    <row r="109" spans="1:37" ht="8.25" customHeight="1" thickBot="1" x14ac:dyDescent="0.4">
      <c r="A109" s="34"/>
      <c r="B109" s="33"/>
      <c r="C109" s="33"/>
      <c r="D109" s="33"/>
      <c r="E109" s="33"/>
      <c r="F109" s="33"/>
      <c r="G109" s="33"/>
      <c r="H109" s="33"/>
      <c r="I109" s="33"/>
      <c r="J109" s="33"/>
      <c r="K109" s="33"/>
      <c r="L109" s="33"/>
      <c r="M109" s="33"/>
      <c r="N109" s="33"/>
      <c r="O109" s="33"/>
      <c r="P109" s="33"/>
      <c r="Q109" s="33"/>
      <c r="R109" s="33"/>
      <c r="S109" s="33"/>
      <c r="T109" s="33"/>
      <c r="U109" s="33"/>
      <c r="V109" s="33"/>
      <c r="W109" s="33"/>
      <c r="X109" s="33"/>
      <c r="Y109" s="33"/>
      <c r="Z109" s="33"/>
      <c r="AA109" s="33"/>
      <c r="AB109" s="33"/>
      <c r="AC109" s="33"/>
      <c r="AD109" s="33"/>
      <c r="AE109" s="33"/>
      <c r="AF109" s="33"/>
      <c r="AG109" s="57"/>
      <c r="AH109" s="57"/>
      <c r="AI109" s="33"/>
      <c r="AJ109" s="57"/>
      <c r="AK109" s="56"/>
    </row>
    <row r="110" spans="1:37" ht="19.5" customHeight="1" thickBot="1" x14ac:dyDescent="0.4">
      <c r="A110" s="50" t="s">
        <v>1310</v>
      </c>
      <c r="B110" s="49"/>
      <c r="C110" s="49"/>
      <c r="D110" s="49"/>
      <c r="E110" s="49"/>
      <c r="F110" s="49"/>
      <c r="G110" s="49"/>
      <c r="H110" s="49"/>
      <c r="I110" s="49"/>
      <c r="J110" s="49"/>
      <c r="K110" s="49"/>
      <c r="L110" s="49"/>
      <c r="M110" s="49"/>
      <c r="N110" s="49"/>
      <c r="O110" s="49"/>
      <c r="P110" s="49"/>
      <c r="Q110" s="49"/>
      <c r="R110" s="49"/>
      <c r="S110" s="49"/>
      <c r="T110" s="49"/>
      <c r="U110" s="49"/>
      <c r="V110" s="49"/>
      <c r="W110" s="49"/>
      <c r="X110" s="49"/>
      <c r="Y110" s="49"/>
      <c r="Z110" s="49"/>
      <c r="AA110" s="49"/>
      <c r="AB110" s="49"/>
      <c r="AC110" s="49"/>
      <c r="AD110" s="49"/>
      <c r="AE110" s="49"/>
      <c r="AF110" s="49"/>
      <c r="AG110" s="49"/>
      <c r="AH110" s="49"/>
      <c r="AI110" s="49"/>
      <c r="AJ110" s="49"/>
      <c r="AK110" s="48"/>
    </row>
    <row r="111" spans="1:37" ht="18.75" customHeight="1" x14ac:dyDescent="0.35">
      <c r="A111" s="42" t="s">
        <v>777</v>
      </c>
      <c r="B111" s="15"/>
      <c r="C111" s="15"/>
      <c r="D111" s="15"/>
      <c r="E111" s="15"/>
      <c r="F111" s="15"/>
      <c r="G111" s="15"/>
      <c r="H111" s="15"/>
      <c r="I111" s="15"/>
      <c r="J111" s="15"/>
      <c r="K111" s="15"/>
      <c r="L111" s="15"/>
      <c r="M111" s="15"/>
      <c r="N111" s="15"/>
      <c r="O111" s="15"/>
      <c r="P111" s="15"/>
      <c r="Q111" s="15"/>
      <c r="R111" s="15"/>
      <c r="S111" s="15"/>
      <c r="T111" s="15"/>
      <c r="U111" s="15"/>
      <c r="V111" s="15"/>
      <c r="W111" s="15"/>
      <c r="X111" s="15"/>
      <c r="Y111" s="15"/>
      <c r="Z111" s="15"/>
      <c r="AA111" s="15"/>
      <c r="AB111" s="15"/>
      <c r="AC111" s="15"/>
      <c r="AD111" s="15"/>
      <c r="AE111" s="15"/>
      <c r="AF111" s="55" t="s">
        <v>776</v>
      </c>
      <c r="AG111" s="54">
        <v>902</v>
      </c>
      <c r="AH111" s="53" t="s">
        <v>773</v>
      </c>
      <c r="AI111" s="1157">
        <f>+AG102-V106</f>
        <v>0</v>
      </c>
      <c r="AJ111" s="1152"/>
      <c r="AK111" s="1153"/>
    </row>
    <row r="112" spans="1:37" ht="18.75" customHeight="1" x14ac:dyDescent="0.35">
      <c r="A112" s="42" t="s">
        <v>775</v>
      </c>
      <c r="B112" s="15"/>
      <c r="C112" s="15"/>
      <c r="D112" s="15"/>
      <c r="E112" s="15"/>
      <c r="F112" s="15"/>
      <c r="G112" s="15"/>
      <c r="H112" s="15"/>
      <c r="I112" s="15"/>
      <c r="J112" s="15"/>
      <c r="K112" s="15"/>
      <c r="L112" s="15"/>
      <c r="M112" s="15"/>
      <c r="N112" s="15"/>
      <c r="O112" s="15"/>
      <c r="P112" s="15"/>
      <c r="Q112" s="15"/>
      <c r="R112" s="15"/>
      <c r="S112" s="15"/>
      <c r="T112" s="15"/>
      <c r="U112" s="15"/>
      <c r="V112" s="15"/>
      <c r="W112" s="15"/>
      <c r="X112" s="15"/>
      <c r="Y112" s="15"/>
      <c r="Z112" s="15"/>
      <c r="AA112" s="15"/>
      <c r="AB112" s="15"/>
      <c r="AC112" s="15"/>
      <c r="AD112" s="15"/>
      <c r="AE112" s="15"/>
      <c r="AF112" s="43"/>
      <c r="AG112" s="54">
        <v>903</v>
      </c>
      <c r="AH112" s="53" t="s">
        <v>773</v>
      </c>
      <c r="AI112" s="1085">
        <v>0</v>
      </c>
      <c r="AJ112" s="1086"/>
      <c r="AK112" s="1088"/>
    </row>
    <row r="113" spans="1:37" ht="18.75" customHeight="1" thickBot="1" x14ac:dyDescent="0.4">
      <c r="A113" s="38" t="s">
        <v>774</v>
      </c>
      <c r="B113" s="37"/>
      <c r="C113" s="37"/>
      <c r="D113" s="37"/>
      <c r="E113" s="37"/>
      <c r="F113" s="37"/>
      <c r="G113" s="37"/>
      <c r="H113" s="37"/>
      <c r="I113" s="37"/>
      <c r="J113" s="37"/>
      <c r="K113" s="37"/>
      <c r="L113" s="37"/>
      <c r="M113" s="37"/>
      <c r="N113" s="37"/>
      <c r="O113" s="37"/>
      <c r="P113" s="37"/>
      <c r="Q113" s="37"/>
      <c r="R113" s="37"/>
      <c r="S113" s="37"/>
      <c r="T113" s="37"/>
      <c r="U113" s="37"/>
      <c r="V113" s="37"/>
      <c r="W113" s="37"/>
      <c r="X113" s="37"/>
      <c r="Y113" s="37"/>
      <c r="Z113" s="37"/>
      <c r="AA113" s="37"/>
      <c r="AB113" s="37"/>
      <c r="AC113" s="37"/>
      <c r="AD113" s="37"/>
      <c r="AE113" s="37"/>
      <c r="AG113" s="52">
        <v>904</v>
      </c>
      <c r="AH113" s="51" t="s">
        <v>773</v>
      </c>
      <c r="AI113" s="1097">
        <v>0</v>
      </c>
      <c r="AJ113" s="1098"/>
      <c r="AK113" s="1143"/>
    </row>
    <row r="114" spans="1:37" ht="19.5" customHeight="1" thickBot="1" x14ac:dyDescent="0.4">
      <c r="A114" s="50" t="s">
        <v>772</v>
      </c>
      <c r="B114" s="49"/>
      <c r="C114" s="49"/>
      <c r="D114" s="49"/>
      <c r="E114" s="49"/>
      <c r="F114" s="49"/>
      <c r="G114" s="49"/>
      <c r="H114" s="49"/>
      <c r="I114" s="49"/>
      <c r="J114" s="49"/>
      <c r="K114" s="49"/>
      <c r="L114" s="49"/>
      <c r="M114" s="49"/>
      <c r="N114" s="49"/>
      <c r="O114" s="49"/>
      <c r="P114" s="49"/>
      <c r="Q114" s="49"/>
      <c r="R114" s="49"/>
      <c r="S114" s="49"/>
      <c r="T114" s="49"/>
      <c r="U114" s="49"/>
      <c r="V114" s="49"/>
      <c r="W114" s="49"/>
      <c r="X114" s="49"/>
      <c r="Y114" s="49"/>
      <c r="Z114" s="49"/>
      <c r="AA114" s="49"/>
      <c r="AB114" s="49"/>
      <c r="AC114" s="49"/>
      <c r="AD114" s="49"/>
      <c r="AE114" s="49"/>
      <c r="AF114" s="48"/>
      <c r="AG114" s="47">
        <v>999</v>
      </c>
      <c r="AH114" s="46" t="s">
        <v>771</v>
      </c>
      <c r="AI114" s="1094">
        <f>SUM(AI111:AK113)</f>
        <v>0</v>
      </c>
      <c r="AJ114" s="1095"/>
      <c r="AK114" s="1130"/>
    </row>
    <row r="115" spans="1:37" ht="18.75" customHeight="1" x14ac:dyDescent="0.35">
      <c r="A115" s="45" t="s">
        <v>770</v>
      </c>
      <c r="B115" s="43"/>
      <c r="C115" s="43"/>
      <c r="D115" s="43"/>
      <c r="E115" s="43"/>
      <c r="F115" s="44"/>
      <c r="G115" s="43"/>
      <c r="H115" s="43"/>
      <c r="I115" s="43"/>
      <c r="J115" s="43"/>
      <c r="K115" s="43"/>
      <c r="L115" s="43"/>
      <c r="M115" s="43"/>
      <c r="N115" s="43"/>
      <c r="O115" s="43"/>
      <c r="P115" s="43"/>
      <c r="Q115" s="43"/>
      <c r="R115" s="43"/>
      <c r="S115" s="43"/>
      <c r="T115" s="43"/>
      <c r="U115" s="43"/>
      <c r="V115" s="43"/>
      <c r="W115" s="43"/>
      <c r="X115" s="43"/>
      <c r="Y115" s="43"/>
      <c r="Z115" s="43"/>
      <c r="AA115" s="43"/>
      <c r="AB115" s="43"/>
      <c r="AC115" s="43"/>
      <c r="AD115" s="43"/>
      <c r="AE115" s="43"/>
      <c r="AF115" s="43"/>
      <c r="AG115" s="40" t="s">
        <v>769</v>
      </c>
      <c r="AH115" s="39" t="s">
        <v>756</v>
      </c>
      <c r="AI115" s="1152">
        <f>+AI114</f>
        <v>0</v>
      </c>
      <c r="AJ115" s="1152"/>
      <c r="AK115" s="1153"/>
    </row>
    <row r="116" spans="1:37" ht="18.75" customHeight="1" x14ac:dyDescent="0.35">
      <c r="A116" s="42" t="s">
        <v>768</v>
      </c>
      <c r="B116" s="15"/>
      <c r="C116" s="15"/>
      <c r="D116" s="15"/>
      <c r="E116" s="15"/>
      <c r="F116" s="41"/>
      <c r="G116" s="15"/>
      <c r="H116" s="15"/>
      <c r="I116" s="15"/>
      <c r="J116" s="15"/>
      <c r="K116" s="15"/>
      <c r="L116" s="15"/>
      <c r="M116" s="15"/>
      <c r="N116" s="15"/>
      <c r="O116" s="15"/>
      <c r="P116" s="15"/>
      <c r="Q116" s="15"/>
      <c r="R116" s="15"/>
      <c r="S116" s="15"/>
      <c r="T116" s="15"/>
      <c r="U116" s="15"/>
      <c r="V116" s="15"/>
      <c r="W116" s="15"/>
      <c r="X116" s="15"/>
      <c r="Y116" s="15"/>
      <c r="Z116" s="15"/>
      <c r="AA116" s="15"/>
      <c r="AB116" s="15"/>
      <c r="AC116" s="15"/>
      <c r="AD116" s="15"/>
      <c r="AE116" s="15"/>
      <c r="AF116" s="15"/>
      <c r="AG116" s="40" t="s">
        <v>767</v>
      </c>
      <c r="AH116" s="39" t="s">
        <v>756</v>
      </c>
      <c r="AI116" s="1086">
        <v>0</v>
      </c>
      <c r="AJ116" s="1086"/>
      <c r="AK116" s="1088"/>
    </row>
    <row r="117" spans="1:37" ht="18.75" customHeight="1" x14ac:dyDescent="0.35">
      <c r="A117" s="38" t="s">
        <v>766</v>
      </c>
      <c r="B117" s="37"/>
      <c r="C117" s="37"/>
      <c r="D117" s="37"/>
      <c r="E117" s="37"/>
      <c r="F117" s="37"/>
      <c r="G117" s="37"/>
      <c r="H117" s="37"/>
      <c r="I117" s="37"/>
      <c r="J117" s="37"/>
      <c r="K117" s="37"/>
      <c r="L117" s="37"/>
      <c r="M117" s="37"/>
      <c r="N117" s="37"/>
      <c r="O117" s="37"/>
      <c r="P117" s="37"/>
      <c r="Q117" s="37"/>
      <c r="R117" s="37"/>
      <c r="S117" s="37"/>
      <c r="T117" s="37"/>
      <c r="U117" s="37"/>
      <c r="V117" s="37"/>
      <c r="W117" s="37"/>
      <c r="X117" s="37"/>
      <c r="Y117" s="37"/>
      <c r="Z117" s="37"/>
      <c r="AA117" s="37"/>
      <c r="AB117" s="37"/>
      <c r="AC117" s="37"/>
      <c r="AD117" s="37"/>
      <c r="AE117" s="37"/>
      <c r="AF117" s="37"/>
      <c r="AG117" s="36" t="s">
        <v>765</v>
      </c>
      <c r="AH117" s="35" t="s">
        <v>756</v>
      </c>
      <c r="AI117" s="1086">
        <v>0</v>
      </c>
      <c r="AJ117" s="1086"/>
      <c r="AK117" s="1088"/>
    </row>
    <row r="118" spans="1:37" ht="18.75" customHeight="1" thickBot="1" x14ac:dyDescent="0.4">
      <c r="A118" s="38" t="s">
        <v>764</v>
      </c>
      <c r="B118" s="37"/>
      <c r="C118" s="37"/>
      <c r="D118" s="37"/>
      <c r="E118" s="37"/>
      <c r="F118" s="37"/>
      <c r="G118" s="37"/>
      <c r="H118" s="37"/>
      <c r="I118" s="37"/>
      <c r="J118" s="37"/>
      <c r="K118" s="37"/>
      <c r="L118" s="37"/>
      <c r="M118" s="37"/>
      <c r="N118" s="37"/>
      <c r="O118" s="37"/>
      <c r="P118" s="37"/>
      <c r="Q118" s="37"/>
      <c r="R118" s="37"/>
      <c r="S118" s="37"/>
      <c r="T118" s="37"/>
      <c r="U118" s="37"/>
      <c r="V118" s="37"/>
      <c r="W118" s="37"/>
      <c r="X118" s="37"/>
      <c r="Y118" s="37"/>
      <c r="Z118" s="37"/>
      <c r="AA118" s="37"/>
      <c r="AB118" s="37"/>
      <c r="AC118" s="37"/>
      <c r="AD118" s="37"/>
      <c r="AE118" s="37"/>
      <c r="AF118" s="37"/>
      <c r="AG118" s="36" t="s">
        <v>763</v>
      </c>
      <c r="AH118" s="35" t="s">
        <v>756</v>
      </c>
      <c r="AI118" s="1098">
        <v>0</v>
      </c>
      <c r="AJ118" s="1098"/>
      <c r="AK118" s="1143"/>
    </row>
    <row r="119" spans="1:37" ht="32.25" customHeight="1" thickBot="1" x14ac:dyDescent="0.4">
      <c r="A119" s="34" t="s">
        <v>762</v>
      </c>
      <c r="B119" s="33"/>
      <c r="C119" s="33"/>
      <c r="D119" s="33"/>
      <c r="E119" s="33"/>
      <c r="F119" s="33"/>
      <c r="G119" s="33"/>
      <c r="H119" s="33"/>
      <c r="I119" s="33"/>
      <c r="J119" s="33"/>
      <c r="K119" s="33"/>
      <c r="L119" s="33"/>
      <c r="M119" s="33"/>
      <c r="N119" s="33"/>
      <c r="O119" s="33"/>
      <c r="P119" s="1158" t="s">
        <v>761</v>
      </c>
      <c r="Q119" s="1159"/>
      <c r="R119" s="1159"/>
      <c r="S119" s="1159"/>
      <c r="T119" s="1160"/>
      <c r="U119" s="1161" t="s">
        <v>760</v>
      </c>
      <c r="V119" s="1162"/>
      <c r="W119" s="1162"/>
      <c r="X119" s="1162"/>
      <c r="Y119" s="1162"/>
      <c r="Z119" s="1162"/>
      <c r="AA119" s="1162"/>
      <c r="AB119" s="1162"/>
      <c r="AC119" s="1162"/>
      <c r="AD119" s="1162"/>
      <c r="AE119" s="1163"/>
      <c r="AF119" s="1158" t="s">
        <v>759</v>
      </c>
      <c r="AG119" s="1159"/>
      <c r="AH119" s="1159"/>
      <c r="AI119" s="1159"/>
      <c r="AJ119" s="1159"/>
      <c r="AK119" s="1160"/>
    </row>
    <row r="120" spans="1:37" ht="18.75" customHeight="1" x14ac:dyDescent="0.35">
      <c r="A120" s="32">
        <v>908</v>
      </c>
      <c r="B120" s="30" t="s">
        <v>758</v>
      </c>
      <c r="C120" s="1000"/>
      <c r="D120" s="1000"/>
      <c r="E120" s="1144"/>
      <c r="F120" s="31">
        <v>910</v>
      </c>
      <c r="G120" s="30" t="s">
        <v>758</v>
      </c>
      <c r="H120" s="1000"/>
      <c r="I120" s="1000"/>
      <c r="J120" s="1144"/>
      <c r="K120" s="31">
        <v>912</v>
      </c>
      <c r="L120" s="30" t="s">
        <v>758</v>
      </c>
      <c r="M120" s="1000"/>
      <c r="N120" s="1000"/>
      <c r="O120" s="1144"/>
      <c r="P120" s="1008"/>
      <c r="Q120" s="1009"/>
      <c r="R120" s="1009"/>
      <c r="S120" s="1009"/>
      <c r="T120" s="1010"/>
      <c r="U120" s="32">
        <v>916</v>
      </c>
      <c r="V120" s="30" t="s">
        <v>757</v>
      </c>
      <c r="W120" s="1000"/>
      <c r="X120" s="1000"/>
      <c r="Y120" s="1000"/>
      <c r="Z120" s="1144"/>
      <c r="AA120" s="31">
        <v>918</v>
      </c>
      <c r="AB120" s="30" t="s">
        <v>757</v>
      </c>
      <c r="AC120" s="1000"/>
      <c r="AD120" s="1000"/>
      <c r="AE120" s="1144"/>
      <c r="AF120" s="1008"/>
      <c r="AG120" s="1009"/>
      <c r="AH120" s="1009"/>
      <c r="AI120" s="1009"/>
      <c r="AJ120" s="1009"/>
      <c r="AK120" s="1010"/>
    </row>
    <row r="121" spans="1:37" ht="18.75" customHeight="1" thickBot="1" x14ac:dyDescent="0.4">
      <c r="A121" s="28">
        <v>909</v>
      </c>
      <c r="B121" s="26" t="s">
        <v>756</v>
      </c>
      <c r="C121" s="1098">
        <v>0</v>
      </c>
      <c r="D121" s="1098"/>
      <c r="E121" s="1099"/>
      <c r="F121" s="29">
        <v>911</v>
      </c>
      <c r="G121" s="26" t="s">
        <v>756</v>
      </c>
      <c r="H121" s="1098">
        <v>0</v>
      </c>
      <c r="I121" s="1098"/>
      <c r="J121" s="1099"/>
      <c r="K121" s="27">
        <v>913</v>
      </c>
      <c r="L121" s="26" t="s">
        <v>756</v>
      </c>
      <c r="M121" s="1098">
        <v>0</v>
      </c>
      <c r="N121" s="1098"/>
      <c r="O121" s="1099"/>
      <c r="P121" s="27">
        <v>915</v>
      </c>
      <c r="Q121" s="26" t="s">
        <v>756</v>
      </c>
      <c r="R121" s="1098">
        <v>0</v>
      </c>
      <c r="S121" s="1098"/>
      <c r="T121" s="1143"/>
      <c r="U121" s="28">
        <v>917</v>
      </c>
      <c r="V121" s="26" t="s">
        <v>756</v>
      </c>
      <c r="W121" s="1098">
        <v>0</v>
      </c>
      <c r="X121" s="1098"/>
      <c r="Y121" s="1098"/>
      <c r="Z121" s="1099"/>
      <c r="AA121" s="27">
        <v>919</v>
      </c>
      <c r="AB121" s="26" t="s">
        <v>756</v>
      </c>
      <c r="AC121" s="1098">
        <v>0</v>
      </c>
      <c r="AD121" s="1098"/>
      <c r="AE121" s="1099"/>
      <c r="AF121" s="27">
        <v>920</v>
      </c>
      <c r="AG121" s="26" t="s">
        <v>756</v>
      </c>
      <c r="AH121" s="1098">
        <v>0</v>
      </c>
      <c r="AI121" s="1098"/>
      <c r="AJ121" s="1098"/>
      <c r="AK121" s="1143"/>
    </row>
    <row r="122" spans="1:37" ht="22.5" customHeight="1" x14ac:dyDescent="0.35">
      <c r="A122" s="1147" t="s">
        <v>755</v>
      </c>
      <c r="B122" s="1148"/>
      <c r="C122" s="1148"/>
      <c r="D122" s="1148"/>
      <c r="E122" s="1148"/>
      <c r="F122" s="1148"/>
      <c r="G122" s="1148"/>
      <c r="H122" s="1148"/>
      <c r="I122" s="1148"/>
      <c r="J122" s="1148"/>
      <c r="K122" s="1148"/>
      <c r="L122" s="1148"/>
      <c r="M122" s="1148"/>
      <c r="N122" s="1148"/>
      <c r="O122" s="1148"/>
      <c r="P122" s="1148"/>
      <c r="Q122" s="1148"/>
      <c r="R122" s="1148"/>
      <c r="S122" s="1148"/>
      <c r="T122" s="1148"/>
      <c r="U122" s="1148"/>
      <c r="V122" s="1148"/>
      <c r="W122" s="1148"/>
      <c r="X122" s="1148"/>
      <c r="Y122" s="1148"/>
      <c r="Z122" s="1148"/>
      <c r="AA122" s="1148"/>
      <c r="AB122" s="1148"/>
      <c r="AC122" s="1148"/>
      <c r="AD122" s="1148"/>
      <c r="AE122" s="1148"/>
      <c r="AF122" s="1148"/>
      <c r="AG122" s="1148"/>
      <c r="AH122" s="1148"/>
      <c r="AI122" s="1148"/>
      <c r="AJ122" s="1148"/>
      <c r="AK122" s="1149"/>
    </row>
    <row r="123" spans="1:37" ht="15.75" customHeight="1" x14ac:dyDescent="0.35">
      <c r="A123" s="23"/>
      <c r="C123" s="20"/>
      <c r="D123" s="20"/>
      <c r="E123" s="20"/>
      <c r="F123" s="20"/>
      <c r="AK123" s="19"/>
    </row>
    <row r="124" spans="1:37" ht="15.75" customHeight="1" x14ac:dyDescent="0.35">
      <c r="A124" s="25"/>
      <c r="B124" s="24"/>
      <c r="C124" s="20"/>
      <c r="D124" s="20"/>
      <c r="E124" s="20"/>
      <c r="F124" s="20"/>
      <c r="G124" s="24"/>
      <c r="H124" s="24"/>
      <c r="I124" s="24"/>
      <c r="J124" s="24"/>
      <c r="K124" s="24"/>
      <c r="L124" s="24"/>
      <c r="M124" s="24"/>
      <c r="N124" s="24"/>
      <c r="O124" s="24"/>
      <c r="P124" s="24"/>
      <c r="Q124" s="24"/>
      <c r="R124" s="24"/>
      <c r="S124" s="24"/>
      <c r="T124" s="24"/>
      <c r="U124" s="24"/>
      <c r="AK124" s="19"/>
    </row>
    <row r="125" spans="1:37" ht="12.75" customHeight="1" x14ac:dyDescent="0.35">
      <c r="A125" s="25"/>
      <c r="B125" s="24"/>
      <c r="C125" s="20"/>
      <c r="D125" s="20"/>
      <c r="E125" s="20"/>
      <c r="F125" s="20"/>
      <c r="G125" s="24"/>
      <c r="H125" s="24"/>
      <c r="I125" s="24"/>
      <c r="J125" s="24"/>
      <c r="K125" s="24"/>
      <c r="L125" s="24"/>
      <c r="M125" s="24"/>
      <c r="N125" s="24"/>
      <c r="O125" s="24"/>
      <c r="P125" s="24"/>
      <c r="Q125" s="24"/>
      <c r="R125" s="24"/>
      <c r="S125" s="24"/>
      <c r="T125" s="24"/>
      <c r="U125" s="24"/>
      <c r="AK125" s="19"/>
    </row>
    <row r="126" spans="1:37" ht="18" customHeight="1" thickBot="1" x14ac:dyDescent="0.4">
      <c r="A126" s="23"/>
      <c r="B126" s="20"/>
      <c r="C126" s="20"/>
      <c r="D126" s="20"/>
      <c r="E126" s="20"/>
      <c r="F126" s="20"/>
      <c r="G126" s="21"/>
      <c r="H126" s="22" t="s">
        <v>754</v>
      </c>
      <c r="J126" s="20"/>
      <c r="K126" s="21"/>
      <c r="L126" s="21"/>
      <c r="Q126" s="20" t="s">
        <v>753</v>
      </c>
      <c r="R126" s="20"/>
      <c r="S126" s="20"/>
      <c r="T126" s="20"/>
      <c r="U126" s="20"/>
      <c r="AB126" s="20" t="s">
        <v>752</v>
      </c>
      <c r="AC126" s="20"/>
      <c r="AK126" s="19"/>
    </row>
    <row r="127" spans="1:37" ht="22.5" customHeight="1" thickBot="1" x14ac:dyDescent="0.4">
      <c r="A127" s="18" t="s">
        <v>751</v>
      </c>
      <c r="B127" s="17"/>
      <c r="C127" s="1150" t="str">
        <f>Parametros!D6</f>
        <v>JAVIER VELIZ NAPA</v>
      </c>
      <c r="D127" s="1146"/>
      <c r="E127" s="1146"/>
      <c r="F127" s="1146"/>
      <c r="G127" s="1146"/>
      <c r="H127" s="1146"/>
      <c r="I127" s="1146"/>
      <c r="J127" s="1146"/>
      <c r="K127" s="1146"/>
      <c r="L127" s="1146"/>
      <c r="M127" s="1146"/>
      <c r="N127" s="1146"/>
      <c r="O127" s="1146"/>
      <c r="P127" s="1146"/>
      <c r="Q127" s="1146"/>
      <c r="R127" s="1146"/>
      <c r="S127" s="1146"/>
      <c r="T127" s="1151"/>
      <c r="U127" s="18" t="s">
        <v>751</v>
      </c>
      <c r="V127" s="17"/>
      <c r="W127" s="16"/>
      <c r="X127" s="1145" t="str">
        <f>Parametros!D8</f>
        <v>LOURDES GOMEZ SOLIS</v>
      </c>
      <c r="Y127" s="1146"/>
      <c r="Z127" s="1146"/>
      <c r="AA127" s="1146"/>
      <c r="AB127" s="1146"/>
      <c r="AC127" s="1146"/>
      <c r="AD127" s="1146"/>
      <c r="AE127" s="1146"/>
      <c r="AF127" s="1146"/>
      <c r="AG127" s="1146"/>
      <c r="AH127" s="15"/>
      <c r="AI127" s="15"/>
      <c r="AJ127" s="15"/>
      <c r="AK127" s="14"/>
    </row>
    <row r="128" spans="1:37" ht="22.5" customHeight="1" thickBot="1" x14ac:dyDescent="0.4">
      <c r="A128" s="8">
        <v>198</v>
      </c>
      <c r="B128" s="7" t="s">
        <v>750</v>
      </c>
      <c r="C128" s="13"/>
      <c r="D128" s="13"/>
      <c r="E128" s="11"/>
      <c r="F128" s="12"/>
      <c r="G128" s="11"/>
      <c r="H128" s="5"/>
      <c r="I128" s="1098" t="str">
        <f>Parametros!D7</f>
        <v>1234567890001</v>
      </c>
      <c r="J128" s="1098"/>
      <c r="K128" s="1098"/>
      <c r="L128" s="1098"/>
      <c r="M128" s="1098"/>
      <c r="N128" s="1098"/>
      <c r="O128" s="1098"/>
      <c r="P128" s="10"/>
      <c r="Q128" s="10"/>
      <c r="R128" s="10"/>
      <c r="S128" s="10"/>
      <c r="T128" s="9"/>
      <c r="U128" s="8">
        <v>199</v>
      </c>
      <c r="V128" s="7" t="s">
        <v>749</v>
      </c>
      <c r="W128" s="6"/>
      <c r="X128" s="1098" t="str">
        <f>Parametros!D9</f>
        <v>1234567890001</v>
      </c>
      <c r="Y128" s="1098"/>
      <c r="Z128" s="1098"/>
      <c r="AA128" s="1098"/>
      <c r="AB128" s="1098"/>
      <c r="AC128" s="1098"/>
      <c r="AD128" s="1098"/>
      <c r="AE128" s="1098"/>
      <c r="AF128" s="1098"/>
      <c r="AG128" s="1098"/>
      <c r="AH128" s="5"/>
      <c r="AI128" s="5"/>
      <c r="AJ128" s="5"/>
      <c r="AK128" s="4"/>
    </row>
  </sheetData>
  <mergeCells count="227">
    <mergeCell ref="X57:AD57"/>
    <mergeCell ref="Z52:AD52"/>
    <mergeCell ref="Z44:AD44"/>
    <mergeCell ref="AG47:AK47"/>
    <mergeCell ref="AG48:AK48"/>
    <mergeCell ref="AG60:AK60"/>
    <mergeCell ref="AF59:AK59"/>
    <mergeCell ref="R57:V57"/>
    <mergeCell ref="R52:V52"/>
    <mergeCell ref="X55:AD55"/>
    <mergeCell ref="AF57:AK57"/>
    <mergeCell ref="R51:V51"/>
    <mergeCell ref="AF56:AK56"/>
    <mergeCell ref="AG52:AK52"/>
    <mergeCell ref="X54:AD54"/>
    <mergeCell ref="AE53:AK55"/>
    <mergeCell ref="AG39:AK39"/>
    <mergeCell ref="Z40:AD40"/>
    <mergeCell ref="AE38:AK38"/>
    <mergeCell ref="R39:V39"/>
    <mergeCell ref="R50:V50"/>
    <mergeCell ref="AG40:AK40"/>
    <mergeCell ref="R40:V40"/>
    <mergeCell ref="R43:V43"/>
    <mergeCell ref="AG43:AK43"/>
    <mergeCell ref="Z39:AD39"/>
    <mergeCell ref="W38:AD38"/>
    <mergeCell ref="R49:V49"/>
    <mergeCell ref="AG41:AK41"/>
    <mergeCell ref="Z41:AD41"/>
    <mergeCell ref="R41:V41"/>
    <mergeCell ref="Z46:AD46"/>
    <mergeCell ref="Z49:AD49"/>
    <mergeCell ref="AG45:AK45"/>
    <mergeCell ref="AE49:AK51"/>
    <mergeCell ref="Z51:AD51"/>
    <mergeCell ref="AG46:AK46"/>
    <mergeCell ref="Z45:AD45"/>
    <mergeCell ref="Z50:AD50"/>
    <mergeCell ref="R44:V44"/>
    <mergeCell ref="AG95:AK95"/>
    <mergeCell ref="AG94:AK94"/>
    <mergeCell ref="AG91:AK91"/>
    <mergeCell ref="AG92:AK92"/>
    <mergeCell ref="AG86:AK86"/>
    <mergeCell ref="AG87:AK87"/>
    <mergeCell ref="AG81:AK81"/>
    <mergeCell ref="AG85:AK85"/>
    <mergeCell ref="AG67:AK67"/>
    <mergeCell ref="AG82:AK82"/>
    <mergeCell ref="AG79:AK79"/>
    <mergeCell ref="AG70:AK70"/>
    <mergeCell ref="AG80:AK80"/>
    <mergeCell ref="B6:B7"/>
    <mergeCell ref="C6:C7"/>
    <mergeCell ref="H6:H7"/>
    <mergeCell ref="B10:N10"/>
    <mergeCell ref="I6:I7"/>
    <mergeCell ref="J6:J7"/>
    <mergeCell ref="F6:F7"/>
    <mergeCell ref="K6:K7"/>
    <mergeCell ref="G6:G7"/>
    <mergeCell ref="E6:E7"/>
    <mergeCell ref="D6:D7"/>
    <mergeCell ref="G34:J34"/>
    <mergeCell ref="P33:U33"/>
    <mergeCell ref="AG33:AK33"/>
    <mergeCell ref="F33:J33"/>
    <mergeCell ref="A33:E33"/>
    <mergeCell ref="AF28:AK28"/>
    <mergeCell ref="A9:A10"/>
    <mergeCell ref="P38:V38"/>
    <mergeCell ref="I1:AE2"/>
    <mergeCell ref="P6:P7"/>
    <mergeCell ref="AF1:AG2"/>
    <mergeCell ref="M6:M7"/>
    <mergeCell ref="Z14:AD14"/>
    <mergeCell ref="AG14:AK14"/>
    <mergeCell ref="P10:AK10"/>
    <mergeCell ref="AH6:AJ6"/>
    <mergeCell ref="X7:AE7"/>
    <mergeCell ref="AH7:AJ7"/>
    <mergeCell ref="AG13:AK13"/>
    <mergeCell ref="N6:N7"/>
    <mergeCell ref="Q6:Q7"/>
    <mergeCell ref="L6:L7"/>
    <mergeCell ref="AG6:AG7"/>
    <mergeCell ref="P4:S4"/>
    <mergeCell ref="T4:U4"/>
    <mergeCell ref="R13:V13"/>
    <mergeCell ref="U6:U7"/>
    <mergeCell ref="R6:R7"/>
    <mergeCell ref="S6:S7"/>
    <mergeCell ref="T6:T7"/>
    <mergeCell ref="W12:AD12"/>
    <mergeCell ref="A81:C84"/>
    <mergeCell ref="AG72:AK72"/>
    <mergeCell ref="AG73:AK73"/>
    <mergeCell ref="AG74:AK74"/>
    <mergeCell ref="Z81:AB81"/>
    <mergeCell ref="A62:J62"/>
    <mergeCell ref="L62:O62"/>
    <mergeCell ref="P62:AA62"/>
    <mergeCell ref="AC62:AF62"/>
    <mergeCell ref="AC63:AF63"/>
    <mergeCell ref="A63:AA63"/>
    <mergeCell ref="AG84:AK84"/>
    <mergeCell ref="AG75:AK75"/>
    <mergeCell ref="AG17:AK17"/>
    <mergeCell ref="Q34:U34"/>
    <mergeCell ref="R23:V23"/>
    <mergeCell ref="AC34:AF34"/>
    <mergeCell ref="AE19:AK24"/>
    <mergeCell ref="X26:AD26"/>
    <mergeCell ref="P27:V28"/>
    <mergeCell ref="M106:S106"/>
    <mergeCell ref="AA106:AE106"/>
    <mergeCell ref="R53:V53"/>
    <mergeCell ref="AG71:AK71"/>
    <mergeCell ref="X56:AD56"/>
    <mergeCell ref="X53:AD53"/>
    <mergeCell ref="AG66:AK66"/>
    <mergeCell ref="R54:V54"/>
    <mergeCell ref="AG68:AK68"/>
    <mergeCell ref="AG69:AK69"/>
    <mergeCell ref="AG93:AK93"/>
    <mergeCell ref="AG100:AK100"/>
    <mergeCell ref="AH34:AK34"/>
    <mergeCell ref="W34:AA34"/>
    <mergeCell ref="R45:V45"/>
    <mergeCell ref="R46:V46"/>
    <mergeCell ref="Z43:AD43"/>
    <mergeCell ref="AG98:AK98"/>
    <mergeCell ref="AG96:AK96"/>
    <mergeCell ref="AG78:AK78"/>
    <mergeCell ref="AG90:AK90"/>
    <mergeCell ref="AI115:AK115"/>
    <mergeCell ref="AG102:AK102"/>
    <mergeCell ref="AH106:AK106"/>
    <mergeCell ref="AG104:AK104"/>
    <mergeCell ref="AI113:AK113"/>
    <mergeCell ref="AI112:AK112"/>
    <mergeCell ref="AI111:AK111"/>
    <mergeCell ref="V106:Z106"/>
    <mergeCell ref="P119:T119"/>
    <mergeCell ref="U119:AE119"/>
    <mergeCell ref="AF119:AK119"/>
    <mergeCell ref="AI114:AK114"/>
    <mergeCell ref="AG108:AK108"/>
    <mergeCell ref="AI116:AK116"/>
    <mergeCell ref="AI117:AK117"/>
    <mergeCell ref="AI118:AK118"/>
    <mergeCell ref="A105:AK105"/>
    <mergeCell ref="A106:F106"/>
    <mergeCell ref="I106:L106"/>
    <mergeCell ref="A70:C73"/>
    <mergeCell ref="AG76:AK76"/>
    <mergeCell ref="AG77:AK77"/>
    <mergeCell ref="AG83:AK83"/>
    <mergeCell ref="I128:O128"/>
    <mergeCell ref="X128:AG128"/>
    <mergeCell ref="W121:Z121"/>
    <mergeCell ref="AF120:AK120"/>
    <mergeCell ref="C121:E121"/>
    <mergeCell ref="H121:J121"/>
    <mergeCell ref="M121:O121"/>
    <mergeCell ref="R121:T121"/>
    <mergeCell ref="P120:T120"/>
    <mergeCell ref="W120:Z120"/>
    <mergeCell ref="AC120:AE120"/>
    <mergeCell ref="X127:AG127"/>
    <mergeCell ref="AC121:AE121"/>
    <mergeCell ref="AH121:AK121"/>
    <mergeCell ref="C120:E120"/>
    <mergeCell ref="H120:J120"/>
    <mergeCell ref="M120:O120"/>
    <mergeCell ref="A122:AK122"/>
    <mergeCell ref="C127:T127"/>
    <mergeCell ref="AG99:AK99"/>
    <mergeCell ref="A6:A7"/>
    <mergeCell ref="L36:O36"/>
    <mergeCell ref="P36:AA36"/>
    <mergeCell ref="A36:J36"/>
    <mergeCell ref="K33:O33"/>
    <mergeCell ref="AC36:AF36"/>
    <mergeCell ref="B34:E34"/>
    <mergeCell ref="V33:AA33"/>
    <mergeCell ref="AB33:AF33"/>
    <mergeCell ref="AF29:AK29"/>
    <mergeCell ref="L34:O34"/>
    <mergeCell ref="X29:AD29"/>
    <mergeCell ref="R29:V29"/>
    <mergeCell ref="X28:AD28"/>
    <mergeCell ref="AG18:AK18"/>
    <mergeCell ref="AE12:AK12"/>
    <mergeCell ref="P12:V12"/>
    <mergeCell ref="R22:V22"/>
    <mergeCell ref="R14:V14"/>
    <mergeCell ref="R15:V15"/>
    <mergeCell ref="AG25:AK25"/>
    <mergeCell ref="Z21:AD21"/>
    <mergeCell ref="R24:V24"/>
    <mergeCell ref="R25:V25"/>
    <mergeCell ref="R16:V16"/>
    <mergeCell ref="Z16:AD16"/>
    <mergeCell ref="AG16:AK16"/>
    <mergeCell ref="R42:V42"/>
    <mergeCell ref="Z42:AD42"/>
    <mergeCell ref="AG42:AK42"/>
    <mergeCell ref="W6:W7"/>
    <mergeCell ref="X6:AE6"/>
    <mergeCell ref="AG44:AK44"/>
    <mergeCell ref="Z23:AD23"/>
    <mergeCell ref="Z25:AD25"/>
    <mergeCell ref="Z24:AD24"/>
    <mergeCell ref="Z13:AD13"/>
    <mergeCell ref="Z20:AD20"/>
    <mergeCell ref="Z22:AD22"/>
    <mergeCell ref="AG15:AK15"/>
    <mergeCell ref="Z15:AD15"/>
    <mergeCell ref="X27:AD27"/>
    <mergeCell ref="AE26:AK27"/>
    <mergeCell ref="Z19:AD19"/>
    <mergeCell ref="R20:V20"/>
    <mergeCell ref="R26:V26"/>
    <mergeCell ref="R21:V21"/>
    <mergeCell ref="R19:V19"/>
  </mergeCells>
  <conditionalFormatting sqref="C6:N7">
    <cfRule type="expression" dxfId="9" priority="1">
      <formula>C$5</formula>
    </cfRule>
  </conditionalFormatting>
  <dataValidations count="3">
    <dataValidation type="whole" operator="equal" allowBlank="1" showInputMessage="1" showErrorMessage="1" errorTitle="Anexos con Excel" error="Este campo esta bloqueado por el SRI" sqref="AG83:AK83 WWJ983110:WWN983110 WMN983110:WMR983110 WCR983110:WCV983110 VSV983110:VSZ983110 VIZ983110:VJD983110 UZD983110:UZH983110 UPH983110:UPL983110 UFL983110:UFP983110 TVP983110:TVT983110 TLT983110:TLX983110 TBX983110:TCB983110 SSB983110:SSF983110 SIF983110:SIJ983110 RYJ983110:RYN983110 RON983110:ROR983110 RER983110:REV983110 QUV983110:QUZ983110 QKZ983110:QLD983110 QBD983110:QBH983110 PRH983110:PRL983110 PHL983110:PHP983110 OXP983110:OXT983110 ONT983110:ONX983110 ODX983110:OEB983110 NUB983110:NUF983110 NKF983110:NKJ983110 NAJ983110:NAN983110 MQN983110:MQR983110 MGR983110:MGV983110 LWV983110:LWZ983110 LMZ983110:LND983110 LDD983110:LDH983110 KTH983110:KTL983110 KJL983110:KJP983110 JZP983110:JZT983110 JPT983110:JPX983110 JFX983110:JGB983110 IWB983110:IWF983110 IMF983110:IMJ983110 ICJ983110:ICN983110 HSN983110:HSR983110 HIR983110:HIV983110 GYV983110:GYZ983110 GOZ983110:GPD983110 GFD983110:GFH983110 FVH983110:FVL983110 FLL983110:FLP983110 FBP983110:FBT983110 ERT983110:ERX983110 EHX983110:EIB983110 DYB983110:DYF983110 DOF983110:DOJ983110 DEJ983110:DEN983110 CUN983110:CUR983110 CKR983110:CKV983110 CAV983110:CAZ983110 BQZ983110:BRD983110 BHD983110:BHH983110 AXH983110:AXL983110 ANL983110:ANP983110 ADP983110:ADT983110 TT983110:TX983110 JX983110:KB983110 AG983110:AK983110 WWJ917574:WWN917574 WMN917574:WMR917574 WCR917574:WCV917574 VSV917574:VSZ917574 VIZ917574:VJD917574 UZD917574:UZH917574 UPH917574:UPL917574 UFL917574:UFP917574 TVP917574:TVT917574 TLT917574:TLX917574 TBX917574:TCB917574 SSB917574:SSF917574 SIF917574:SIJ917574 RYJ917574:RYN917574 RON917574:ROR917574 RER917574:REV917574 QUV917574:QUZ917574 QKZ917574:QLD917574 QBD917574:QBH917574 PRH917574:PRL917574 PHL917574:PHP917574 OXP917574:OXT917574 ONT917574:ONX917574 ODX917574:OEB917574 NUB917574:NUF917574 NKF917574:NKJ917574 NAJ917574:NAN917574 MQN917574:MQR917574 MGR917574:MGV917574 LWV917574:LWZ917574 LMZ917574:LND917574 LDD917574:LDH917574 KTH917574:KTL917574 KJL917574:KJP917574 JZP917574:JZT917574 JPT917574:JPX917574 JFX917574:JGB917574 IWB917574:IWF917574 IMF917574:IMJ917574 ICJ917574:ICN917574 HSN917574:HSR917574 HIR917574:HIV917574 GYV917574:GYZ917574 GOZ917574:GPD917574 GFD917574:GFH917574 FVH917574:FVL917574 FLL917574:FLP917574 FBP917574:FBT917574 ERT917574:ERX917574 EHX917574:EIB917574 DYB917574:DYF917574 DOF917574:DOJ917574 DEJ917574:DEN917574 CUN917574:CUR917574 CKR917574:CKV917574 CAV917574:CAZ917574 BQZ917574:BRD917574 BHD917574:BHH917574 AXH917574:AXL917574 ANL917574:ANP917574 ADP917574:ADT917574 TT917574:TX917574 JX917574:KB917574 AG917574:AK917574 WWJ852038:WWN852038 WMN852038:WMR852038 WCR852038:WCV852038 VSV852038:VSZ852038 VIZ852038:VJD852038 UZD852038:UZH852038 UPH852038:UPL852038 UFL852038:UFP852038 TVP852038:TVT852038 TLT852038:TLX852038 TBX852038:TCB852038 SSB852038:SSF852038 SIF852038:SIJ852038 RYJ852038:RYN852038 RON852038:ROR852038 RER852038:REV852038 QUV852038:QUZ852038 QKZ852038:QLD852038 QBD852038:QBH852038 PRH852038:PRL852038 PHL852038:PHP852038 OXP852038:OXT852038 ONT852038:ONX852038 ODX852038:OEB852038 NUB852038:NUF852038 NKF852038:NKJ852038 NAJ852038:NAN852038 MQN852038:MQR852038 MGR852038:MGV852038 LWV852038:LWZ852038 LMZ852038:LND852038 LDD852038:LDH852038 KTH852038:KTL852038 KJL852038:KJP852038 JZP852038:JZT852038 JPT852038:JPX852038 JFX852038:JGB852038 IWB852038:IWF852038 IMF852038:IMJ852038 ICJ852038:ICN852038 HSN852038:HSR852038 HIR852038:HIV852038 GYV852038:GYZ852038 GOZ852038:GPD852038 GFD852038:GFH852038 FVH852038:FVL852038 FLL852038:FLP852038 FBP852038:FBT852038 ERT852038:ERX852038 EHX852038:EIB852038 DYB852038:DYF852038 DOF852038:DOJ852038 DEJ852038:DEN852038 CUN852038:CUR852038 CKR852038:CKV852038 CAV852038:CAZ852038 BQZ852038:BRD852038 BHD852038:BHH852038 AXH852038:AXL852038 ANL852038:ANP852038 ADP852038:ADT852038 TT852038:TX852038 JX852038:KB852038 AG852038:AK852038 WWJ786502:WWN786502 WMN786502:WMR786502 WCR786502:WCV786502 VSV786502:VSZ786502 VIZ786502:VJD786502 UZD786502:UZH786502 UPH786502:UPL786502 UFL786502:UFP786502 TVP786502:TVT786502 TLT786502:TLX786502 TBX786502:TCB786502 SSB786502:SSF786502 SIF786502:SIJ786502 RYJ786502:RYN786502 RON786502:ROR786502 RER786502:REV786502 QUV786502:QUZ786502 QKZ786502:QLD786502 QBD786502:QBH786502 PRH786502:PRL786502 PHL786502:PHP786502 OXP786502:OXT786502 ONT786502:ONX786502 ODX786502:OEB786502 NUB786502:NUF786502 NKF786502:NKJ786502 NAJ786502:NAN786502 MQN786502:MQR786502 MGR786502:MGV786502 LWV786502:LWZ786502 LMZ786502:LND786502 LDD786502:LDH786502 KTH786502:KTL786502 KJL786502:KJP786502 JZP786502:JZT786502 JPT786502:JPX786502 JFX786502:JGB786502 IWB786502:IWF786502 IMF786502:IMJ786502 ICJ786502:ICN786502 HSN786502:HSR786502 HIR786502:HIV786502 GYV786502:GYZ786502 GOZ786502:GPD786502 GFD786502:GFH786502 FVH786502:FVL786502 FLL786502:FLP786502 FBP786502:FBT786502 ERT786502:ERX786502 EHX786502:EIB786502 DYB786502:DYF786502 DOF786502:DOJ786502 DEJ786502:DEN786502 CUN786502:CUR786502 CKR786502:CKV786502 CAV786502:CAZ786502 BQZ786502:BRD786502 BHD786502:BHH786502 AXH786502:AXL786502 ANL786502:ANP786502 ADP786502:ADT786502 TT786502:TX786502 JX786502:KB786502 AG786502:AK786502 WWJ720966:WWN720966 WMN720966:WMR720966 WCR720966:WCV720966 VSV720966:VSZ720966 VIZ720966:VJD720966 UZD720966:UZH720966 UPH720966:UPL720966 UFL720966:UFP720966 TVP720966:TVT720966 TLT720966:TLX720966 TBX720966:TCB720966 SSB720966:SSF720966 SIF720966:SIJ720966 RYJ720966:RYN720966 RON720966:ROR720966 RER720966:REV720966 QUV720966:QUZ720966 QKZ720966:QLD720966 QBD720966:QBH720966 PRH720966:PRL720966 PHL720966:PHP720966 OXP720966:OXT720966 ONT720966:ONX720966 ODX720966:OEB720966 NUB720966:NUF720966 NKF720966:NKJ720966 NAJ720966:NAN720966 MQN720966:MQR720966 MGR720966:MGV720966 LWV720966:LWZ720966 LMZ720966:LND720966 LDD720966:LDH720966 KTH720966:KTL720966 KJL720966:KJP720966 JZP720966:JZT720966 JPT720966:JPX720966 JFX720966:JGB720966 IWB720966:IWF720966 IMF720966:IMJ720966 ICJ720966:ICN720966 HSN720966:HSR720966 HIR720966:HIV720966 GYV720966:GYZ720966 GOZ720966:GPD720966 GFD720966:GFH720966 FVH720966:FVL720966 FLL720966:FLP720966 FBP720966:FBT720966 ERT720966:ERX720966 EHX720966:EIB720966 DYB720966:DYF720966 DOF720966:DOJ720966 DEJ720966:DEN720966 CUN720966:CUR720966 CKR720966:CKV720966 CAV720966:CAZ720966 BQZ720966:BRD720966 BHD720966:BHH720966 AXH720966:AXL720966 ANL720966:ANP720966 ADP720966:ADT720966 TT720966:TX720966 JX720966:KB720966 AG720966:AK720966 WWJ655430:WWN655430 WMN655430:WMR655430 WCR655430:WCV655430 VSV655430:VSZ655430 VIZ655430:VJD655430 UZD655430:UZH655430 UPH655430:UPL655430 UFL655430:UFP655430 TVP655430:TVT655430 TLT655430:TLX655430 TBX655430:TCB655430 SSB655430:SSF655430 SIF655430:SIJ655430 RYJ655430:RYN655430 RON655430:ROR655430 RER655430:REV655430 QUV655430:QUZ655430 QKZ655430:QLD655430 QBD655430:QBH655430 PRH655430:PRL655430 PHL655430:PHP655430 OXP655430:OXT655430 ONT655430:ONX655430 ODX655430:OEB655430 NUB655430:NUF655430 NKF655430:NKJ655430 NAJ655430:NAN655430 MQN655430:MQR655430 MGR655430:MGV655430 LWV655430:LWZ655430 LMZ655430:LND655430 LDD655430:LDH655430 KTH655430:KTL655430 KJL655430:KJP655430 JZP655430:JZT655430 JPT655430:JPX655430 JFX655430:JGB655430 IWB655430:IWF655430 IMF655430:IMJ655430 ICJ655430:ICN655430 HSN655430:HSR655430 HIR655430:HIV655430 GYV655430:GYZ655430 GOZ655430:GPD655430 GFD655430:GFH655430 FVH655430:FVL655430 FLL655430:FLP655430 FBP655430:FBT655430 ERT655430:ERX655430 EHX655430:EIB655430 DYB655430:DYF655430 DOF655430:DOJ655430 DEJ655430:DEN655430 CUN655430:CUR655430 CKR655430:CKV655430 CAV655430:CAZ655430 BQZ655430:BRD655430 BHD655430:BHH655430 AXH655430:AXL655430 ANL655430:ANP655430 ADP655430:ADT655430 TT655430:TX655430 JX655430:KB655430 AG655430:AK655430 WWJ589894:WWN589894 WMN589894:WMR589894 WCR589894:WCV589894 VSV589894:VSZ589894 VIZ589894:VJD589894 UZD589894:UZH589894 UPH589894:UPL589894 UFL589894:UFP589894 TVP589894:TVT589894 TLT589894:TLX589894 TBX589894:TCB589894 SSB589894:SSF589894 SIF589894:SIJ589894 RYJ589894:RYN589894 RON589894:ROR589894 RER589894:REV589894 QUV589894:QUZ589894 QKZ589894:QLD589894 QBD589894:QBH589894 PRH589894:PRL589894 PHL589894:PHP589894 OXP589894:OXT589894 ONT589894:ONX589894 ODX589894:OEB589894 NUB589894:NUF589894 NKF589894:NKJ589894 NAJ589894:NAN589894 MQN589894:MQR589894 MGR589894:MGV589894 LWV589894:LWZ589894 LMZ589894:LND589894 LDD589894:LDH589894 KTH589894:KTL589894 KJL589894:KJP589894 JZP589894:JZT589894 JPT589894:JPX589894 JFX589894:JGB589894 IWB589894:IWF589894 IMF589894:IMJ589894 ICJ589894:ICN589894 HSN589894:HSR589894 HIR589894:HIV589894 GYV589894:GYZ589894 GOZ589894:GPD589894 GFD589894:GFH589894 FVH589894:FVL589894 FLL589894:FLP589894 FBP589894:FBT589894 ERT589894:ERX589894 EHX589894:EIB589894 DYB589894:DYF589894 DOF589894:DOJ589894 DEJ589894:DEN589894 CUN589894:CUR589894 CKR589894:CKV589894 CAV589894:CAZ589894 BQZ589894:BRD589894 BHD589894:BHH589894 AXH589894:AXL589894 ANL589894:ANP589894 ADP589894:ADT589894 TT589894:TX589894 JX589894:KB589894 AG589894:AK589894 WWJ524358:WWN524358 WMN524358:WMR524358 WCR524358:WCV524358 VSV524358:VSZ524358 VIZ524358:VJD524358 UZD524358:UZH524358 UPH524358:UPL524358 UFL524358:UFP524358 TVP524358:TVT524358 TLT524358:TLX524358 TBX524358:TCB524358 SSB524358:SSF524358 SIF524358:SIJ524358 RYJ524358:RYN524358 RON524358:ROR524358 RER524358:REV524358 QUV524358:QUZ524358 QKZ524358:QLD524358 QBD524358:QBH524358 PRH524358:PRL524358 PHL524358:PHP524358 OXP524358:OXT524358 ONT524358:ONX524358 ODX524358:OEB524358 NUB524358:NUF524358 NKF524358:NKJ524358 NAJ524358:NAN524358 MQN524358:MQR524358 MGR524358:MGV524358 LWV524358:LWZ524358 LMZ524358:LND524358 LDD524358:LDH524358 KTH524358:KTL524358 KJL524358:KJP524358 JZP524358:JZT524358 JPT524358:JPX524358 JFX524358:JGB524358 IWB524358:IWF524358 IMF524358:IMJ524358 ICJ524358:ICN524358 HSN524358:HSR524358 HIR524358:HIV524358 GYV524358:GYZ524358 GOZ524358:GPD524358 GFD524358:GFH524358 FVH524358:FVL524358 FLL524358:FLP524358 FBP524358:FBT524358 ERT524358:ERX524358 EHX524358:EIB524358 DYB524358:DYF524358 DOF524358:DOJ524358 DEJ524358:DEN524358 CUN524358:CUR524358 CKR524358:CKV524358 CAV524358:CAZ524358 BQZ524358:BRD524358 BHD524358:BHH524358 AXH524358:AXL524358 ANL524358:ANP524358 ADP524358:ADT524358 TT524358:TX524358 JX524358:KB524358 AG524358:AK524358 WWJ458822:WWN458822 WMN458822:WMR458822 WCR458822:WCV458822 VSV458822:VSZ458822 VIZ458822:VJD458822 UZD458822:UZH458822 UPH458822:UPL458822 UFL458822:UFP458822 TVP458822:TVT458822 TLT458822:TLX458822 TBX458822:TCB458822 SSB458822:SSF458822 SIF458822:SIJ458822 RYJ458822:RYN458822 RON458822:ROR458822 RER458822:REV458822 QUV458822:QUZ458822 QKZ458822:QLD458822 QBD458822:QBH458822 PRH458822:PRL458822 PHL458822:PHP458822 OXP458822:OXT458822 ONT458822:ONX458822 ODX458822:OEB458822 NUB458822:NUF458822 NKF458822:NKJ458822 NAJ458822:NAN458822 MQN458822:MQR458822 MGR458822:MGV458822 LWV458822:LWZ458822 LMZ458822:LND458822 LDD458822:LDH458822 KTH458822:KTL458822 KJL458822:KJP458822 JZP458822:JZT458822 JPT458822:JPX458822 JFX458822:JGB458822 IWB458822:IWF458822 IMF458822:IMJ458822 ICJ458822:ICN458822 HSN458822:HSR458822 HIR458822:HIV458822 GYV458822:GYZ458822 GOZ458822:GPD458822 GFD458822:GFH458822 FVH458822:FVL458822 FLL458822:FLP458822 FBP458822:FBT458822 ERT458822:ERX458822 EHX458822:EIB458822 DYB458822:DYF458822 DOF458822:DOJ458822 DEJ458822:DEN458822 CUN458822:CUR458822 CKR458822:CKV458822 CAV458822:CAZ458822 BQZ458822:BRD458822 BHD458822:BHH458822 AXH458822:AXL458822 ANL458822:ANP458822 ADP458822:ADT458822 TT458822:TX458822 JX458822:KB458822 AG458822:AK458822 WWJ393286:WWN393286 WMN393286:WMR393286 WCR393286:WCV393286 VSV393286:VSZ393286 VIZ393286:VJD393286 UZD393286:UZH393286 UPH393286:UPL393286 UFL393286:UFP393286 TVP393286:TVT393286 TLT393286:TLX393286 TBX393286:TCB393286 SSB393286:SSF393286 SIF393286:SIJ393286 RYJ393286:RYN393286 RON393286:ROR393286 RER393286:REV393286 QUV393286:QUZ393286 QKZ393286:QLD393286 QBD393286:QBH393286 PRH393286:PRL393286 PHL393286:PHP393286 OXP393286:OXT393286 ONT393286:ONX393286 ODX393286:OEB393286 NUB393286:NUF393286 NKF393286:NKJ393286 NAJ393286:NAN393286 MQN393286:MQR393286 MGR393286:MGV393286 LWV393286:LWZ393286 LMZ393286:LND393286 LDD393286:LDH393286 KTH393286:KTL393286 KJL393286:KJP393286 JZP393286:JZT393286 JPT393286:JPX393286 JFX393286:JGB393286 IWB393286:IWF393286 IMF393286:IMJ393286 ICJ393286:ICN393286 HSN393286:HSR393286 HIR393286:HIV393286 GYV393286:GYZ393286 GOZ393286:GPD393286 GFD393286:GFH393286 FVH393286:FVL393286 FLL393286:FLP393286 FBP393286:FBT393286 ERT393286:ERX393286 EHX393286:EIB393286 DYB393286:DYF393286 DOF393286:DOJ393286 DEJ393286:DEN393286 CUN393286:CUR393286 CKR393286:CKV393286 CAV393286:CAZ393286 BQZ393286:BRD393286 BHD393286:BHH393286 AXH393286:AXL393286 ANL393286:ANP393286 ADP393286:ADT393286 TT393286:TX393286 JX393286:KB393286 AG393286:AK393286 WWJ327750:WWN327750 WMN327750:WMR327750 WCR327750:WCV327750 VSV327750:VSZ327750 VIZ327750:VJD327750 UZD327750:UZH327750 UPH327750:UPL327750 UFL327750:UFP327750 TVP327750:TVT327750 TLT327750:TLX327750 TBX327750:TCB327750 SSB327750:SSF327750 SIF327750:SIJ327750 RYJ327750:RYN327750 RON327750:ROR327750 RER327750:REV327750 QUV327750:QUZ327750 QKZ327750:QLD327750 QBD327750:QBH327750 PRH327750:PRL327750 PHL327750:PHP327750 OXP327750:OXT327750 ONT327750:ONX327750 ODX327750:OEB327750 NUB327750:NUF327750 NKF327750:NKJ327750 NAJ327750:NAN327750 MQN327750:MQR327750 MGR327750:MGV327750 LWV327750:LWZ327750 LMZ327750:LND327750 LDD327750:LDH327750 KTH327750:KTL327750 KJL327750:KJP327750 JZP327750:JZT327750 JPT327750:JPX327750 JFX327750:JGB327750 IWB327750:IWF327750 IMF327750:IMJ327750 ICJ327750:ICN327750 HSN327750:HSR327750 HIR327750:HIV327750 GYV327750:GYZ327750 GOZ327750:GPD327750 GFD327750:GFH327750 FVH327750:FVL327750 FLL327750:FLP327750 FBP327750:FBT327750 ERT327750:ERX327750 EHX327750:EIB327750 DYB327750:DYF327750 DOF327750:DOJ327750 DEJ327750:DEN327750 CUN327750:CUR327750 CKR327750:CKV327750 CAV327750:CAZ327750 BQZ327750:BRD327750 BHD327750:BHH327750 AXH327750:AXL327750 ANL327750:ANP327750 ADP327750:ADT327750 TT327750:TX327750 JX327750:KB327750 AG327750:AK327750 WWJ262214:WWN262214 WMN262214:WMR262214 WCR262214:WCV262214 VSV262214:VSZ262214 VIZ262214:VJD262214 UZD262214:UZH262214 UPH262214:UPL262214 UFL262214:UFP262214 TVP262214:TVT262214 TLT262214:TLX262214 TBX262214:TCB262214 SSB262214:SSF262214 SIF262214:SIJ262214 RYJ262214:RYN262214 RON262214:ROR262214 RER262214:REV262214 QUV262214:QUZ262214 QKZ262214:QLD262214 QBD262214:QBH262214 PRH262214:PRL262214 PHL262214:PHP262214 OXP262214:OXT262214 ONT262214:ONX262214 ODX262214:OEB262214 NUB262214:NUF262214 NKF262214:NKJ262214 NAJ262214:NAN262214 MQN262214:MQR262214 MGR262214:MGV262214 LWV262214:LWZ262214 LMZ262214:LND262214 LDD262214:LDH262214 KTH262214:KTL262214 KJL262214:KJP262214 JZP262214:JZT262214 JPT262214:JPX262214 JFX262214:JGB262214 IWB262214:IWF262214 IMF262214:IMJ262214 ICJ262214:ICN262214 HSN262214:HSR262214 HIR262214:HIV262214 GYV262214:GYZ262214 GOZ262214:GPD262214 GFD262214:GFH262214 FVH262214:FVL262214 FLL262214:FLP262214 FBP262214:FBT262214 ERT262214:ERX262214 EHX262214:EIB262214 DYB262214:DYF262214 DOF262214:DOJ262214 DEJ262214:DEN262214 CUN262214:CUR262214 CKR262214:CKV262214 CAV262214:CAZ262214 BQZ262214:BRD262214 BHD262214:BHH262214 AXH262214:AXL262214 ANL262214:ANP262214 ADP262214:ADT262214 TT262214:TX262214 JX262214:KB262214 AG262214:AK262214 WWJ196678:WWN196678 WMN196678:WMR196678 WCR196678:WCV196678 VSV196678:VSZ196678 VIZ196678:VJD196678 UZD196678:UZH196678 UPH196678:UPL196678 UFL196678:UFP196678 TVP196678:TVT196678 TLT196678:TLX196678 TBX196678:TCB196678 SSB196678:SSF196678 SIF196678:SIJ196678 RYJ196678:RYN196678 RON196678:ROR196678 RER196678:REV196678 QUV196678:QUZ196678 QKZ196678:QLD196678 QBD196678:QBH196678 PRH196678:PRL196678 PHL196678:PHP196678 OXP196678:OXT196678 ONT196678:ONX196678 ODX196678:OEB196678 NUB196678:NUF196678 NKF196678:NKJ196678 NAJ196678:NAN196678 MQN196678:MQR196678 MGR196678:MGV196678 LWV196678:LWZ196678 LMZ196678:LND196678 LDD196678:LDH196678 KTH196678:KTL196678 KJL196678:KJP196678 JZP196678:JZT196678 JPT196678:JPX196678 JFX196678:JGB196678 IWB196678:IWF196678 IMF196678:IMJ196678 ICJ196678:ICN196678 HSN196678:HSR196678 HIR196678:HIV196678 GYV196678:GYZ196678 GOZ196678:GPD196678 GFD196678:GFH196678 FVH196678:FVL196678 FLL196678:FLP196678 FBP196678:FBT196678 ERT196678:ERX196678 EHX196678:EIB196678 DYB196678:DYF196678 DOF196678:DOJ196678 DEJ196678:DEN196678 CUN196678:CUR196678 CKR196678:CKV196678 CAV196678:CAZ196678 BQZ196678:BRD196678 BHD196678:BHH196678 AXH196678:AXL196678 ANL196678:ANP196678 ADP196678:ADT196678 TT196678:TX196678 JX196678:KB196678 AG196678:AK196678 WWJ131142:WWN131142 WMN131142:WMR131142 WCR131142:WCV131142 VSV131142:VSZ131142 VIZ131142:VJD131142 UZD131142:UZH131142 UPH131142:UPL131142 UFL131142:UFP131142 TVP131142:TVT131142 TLT131142:TLX131142 TBX131142:TCB131142 SSB131142:SSF131142 SIF131142:SIJ131142 RYJ131142:RYN131142 RON131142:ROR131142 RER131142:REV131142 QUV131142:QUZ131142 QKZ131142:QLD131142 QBD131142:QBH131142 PRH131142:PRL131142 PHL131142:PHP131142 OXP131142:OXT131142 ONT131142:ONX131142 ODX131142:OEB131142 NUB131142:NUF131142 NKF131142:NKJ131142 NAJ131142:NAN131142 MQN131142:MQR131142 MGR131142:MGV131142 LWV131142:LWZ131142 LMZ131142:LND131142 LDD131142:LDH131142 KTH131142:KTL131142 KJL131142:KJP131142 JZP131142:JZT131142 JPT131142:JPX131142 JFX131142:JGB131142 IWB131142:IWF131142 IMF131142:IMJ131142 ICJ131142:ICN131142 HSN131142:HSR131142 HIR131142:HIV131142 GYV131142:GYZ131142 GOZ131142:GPD131142 GFD131142:GFH131142 FVH131142:FVL131142 FLL131142:FLP131142 FBP131142:FBT131142 ERT131142:ERX131142 EHX131142:EIB131142 DYB131142:DYF131142 DOF131142:DOJ131142 DEJ131142:DEN131142 CUN131142:CUR131142 CKR131142:CKV131142 CAV131142:CAZ131142 BQZ131142:BRD131142 BHD131142:BHH131142 AXH131142:AXL131142 ANL131142:ANP131142 ADP131142:ADT131142 TT131142:TX131142 JX131142:KB131142 AG131142:AK131142 WWJ65606:WWN65606 WMN65606:WMR65606 WCR65606:WCV65606 VSV65606:VSZ65606 VIZ65606:VJD65606 UZD65606:UZH65606 UPH65606:UPL65606 UFL65606:UFP65606 TVP65606:TVT65606 TLT65606:TLX65606 TBX65606:TCB65606 SSB65606:SSF65606 SIF65606:SIJ65606 RYJ65606:RYN65606 RON65606:ROR65606 RER65606:REV65606 QUV65606:QUZ65606 QKZ65606:QLD65606 QBD65606:QBH65606 PRH65606:PRL65606 PHL65606:PHP65606 OXP65606:OXT65606 ONT65606:ONX65606 ODX65606:OEB65606 NUB65606:NUF65606 NKF65606:NKJ65606 NAJ65606:NAN65606 MQN65606:MQR65606 MGR65606:MGV65606 LWV65606:LWZ65606 LMZ65606:LND65606 LDD65606:LDH65606 KTH65606:KTL65606 KJL65606:KJP65606 JZP65606:JZT65606 JPT65606:JPX65606 JFX65606:JGB65606 IWB65606:IWF65606 IMF65606:IMJ65606 ICJ65606:ICN65606 HSN65606:HSR65606 HIR65606:HIV65606 GYV65606:GYZ65606 GOZ65606:GPD65606 GFD65606:GFH65606 FVH65606:FVL65606 FLL65606:FLP65606 FBP65606:FBT65606 ERT65606:ERX65606 EHX65606:EIB65606 DYB65606:DYF65606 DOF65606:DOJ65606 DEJ65606:DEN65606 CUN65606:CUR65606 CKR65606:CKV65606 CAV65606:CAZ65606 BQZ65606:BRD65606 BHD65606:BHH65606 AXH65606:AXL65606 ANL65606:ANP65606 ADP65606:ADT65606 TT65606:TX65606 JX65606:KB65606 AG65606:AK65606 WWJ68:WWN68 WMN68:WMR68 WCR68:WCV68 VSV68:VSZ68 VIZ68:VJD68 UZD68:UZH68 UPH68:UPL68 UFL68:UFP68 TVP68:TVT68 TLT68:TLX68 TBX68:TCB68 SSB68:SSF68 SIF68:SIJ68 RYJ68:RYN68 RON68:ROR68 RER68:REV68 QUV68:QUZ68 QKZ68:QLD68 QBD68:QBH68 PRH68:PRL68 PHL68:PHP68 OXP68:OXT68 ONT68:ONX68 ODX68:OEB68 NUB68:NUF68 NKF68:NKJ68 NAJ68:NAN68 MQN68:MQR68 MGR68:MGV68 LWV68:LWZ68 LMZ68:LND68 LDD68:LDH68 KTH68:KTL68 KJL68:KJP68 JZP68:JZT68 JPT68:JPX68 JFX68:JGB68 IWB68:IWF68 IMF68:IMJ68 ICJ68:ICN68 HSN68:HSR68 HIR68:HIV68 GYV68:GYZ68 GOZ68:GPD68 GFD68:GFH68 FVH68:FVL68 FLL68:FLP68 FBP68:FBT68 ERT68:ERX68 EHX68:EIB68 DYB68:DYF68 DOF68:DOJ68 DEJ68:DEN68 CUN68:CUR68 CKR68:CKV68 CAV68:CAZ68 BQZ68:BRD68 BHD68:BHH68 AXH68:AXL68 ANL68:ANP68 ADP68:ADT68 TT68:TX68 JX68:KB68 JX83:KB83 WWJ983114:WWN983114 WMN983114:WMR983114 WCR983114:WCV983114 VSV983114:VSZ983114 VIZ983114:VJD983114 UZD983114:UZH983114 UPH983114:UPL983114 UFL983114:UFP983114 TVP983114:TVT983114 TLT983114:TLX983114 TBX983114:TCB983114 SSB983114:SSF983114 SIF983114:SIJ983114 RYJ983114:RYN983114 RON983114:ROR983114 RER983114:REV983114 QUV983114:QUZ983114 QKZ983114:QLD983114 QBD983114:QBH983114 PRH983114:PRL983114 PHL983114:PHP983114 OXP983114:OXT983114 ONT983114:ONX983114 ODX983114:OEB983114 NUB983114:NUF983114 NKF983114:NKJ983114 NAJ983114:NAN983114 MQN983114:MQR983114 MGR983114:MGV983114 LWV983114:LWZ983114 LMZ983114:LND983114 LDD983114:LDH983114 KTH983114:KTL983114 KJL983114:KJP983114 JZP983114:JZT983114 JPT983114:JPX983114 JFX983114:JGB983114 IWB983114:IWF983114 IMF983114:IMJ983114 ICJ983114:ICN983114 HSN983114:HSR983114 HIR983114:HIV983114 GYV983114:GYZ983114 GOZ983114:GPD983114 GFD983114:GFH983114 FVH983114:FVL983114 FLL983114:FLP983114 FBP983114:FBT983114 ERT983114:ERX983114 EHX983114:EIB983114 DYB983114:DYF983114 DOF983114:DOJ983114 DEJ983114:DEN983114 CUN983114:CUR983114 CKR983114:CKV983114 CAV983114:CAZ983114 BQZ983114:BRD983114 BHD983114:BHH983114 AXH983114:AXL983114 ANL983114:ANP983114 ADP983114:ADT983114 TT983114:TX983114 JX983114:KB983114 AG983114:AK983114 WWJ917578:WWN917578 WMN917578:WMR917578 WCR917578:WCV917578 VSV917578:VSZ917578 VIZ917578:VJD917578 UZD917578:UZH917578 UPH917578:UPL917578 UFL917578:UFP917578 TVP917578:TVT917578 TLT917578:TLX917578 TBX917578:TCB917578 SSB917578:SSF917578 SIF917578:SIJ917578 RYJ917578:RYN917578 RON917578:ROR917578 RER917578:REV917578 QUV917578:QUZ917578 QKZ917578:QLD917578 QBD917578:QBH917578 PRH917578:PRL917578 PHL917578:PHP917578 OXP917578:OXT917578 ONT917578:ONX917578 ODX917578:OEB917578 NUB917578:NUF917578 NKF917578:NKJ917578 NAJ917578:NAN917578 MQN917578:MQR917578 MGR917578:MGV917578 LWV917578:LWZ917578 LMZ917578:LND917578 LDD917578:LDH917578 KTH917578:KTL917578 KJL917578:KJP917578 JZP917578:JZT917578 JPT917578:JPX917578 JFX917578:JGB917578 IWB917578:IWF917578 IMF917578:IMJ917578 ICJ917578:ICN917578 HSN917578:HSR917578 HIR917578:HIV917578 GYV917578:GYZ917578 GOZ917578:GPD917578 GFD917578:GFH917578 FVH917578:FVL917578 FLL917578:FLP917578 FBP917578:FBT917578 ERT917578:ERX917578 EHX917578:EIB917578 DYB917578:DYF917578 DOF917578:DOJ917578 DEJ917578:DEN917578 CUN917578:CUR917578 CKR917578:CKV917578 CAV917578:CAZ917578 BQZ917578:BRD917578 BHD917578:BHH917578 AXH917578:AXL917578 ANL917578:ANP917578 ADP917578:ADT917578 TT917578:TX917578 JX917578:KB917578 AG917578:AK917578 WWJ852042:WWN852042 WMN852042:WMR852042 WCR852042:WCV852042 VSV852042:VSZ852042 VIZ852042:VJD852042 UZD852042:UZH852042 UPH852042:UPL852042 UFL852042:UFP852042 TVP852042:TVT852042 TLT852042:TLX852042 TBX852042:TCB852042 SSB852042:SSF852042 SIF852042:SIJ852042 RYJ852042:RYN852042 RON852042:ROR852042 RER852042:REV852042 QUV852042:QUZ852042 QKZ852042:QLD852042 QBD852042:QBH852042 PRH852042:PRL852042 PHL852042:PHP852042 OXP852042:OXT852042 ONT852042:ONX852042 ODX852042:OEB852042 NUB852042:NUF852042 NKF852042:NKJ852042 NAJ852042:NAN852042 MQN852042:MQR852042 MGR852042:MGV852042 LWV852042:LWZ852042 LMZ852042:LND852042 LDD852042:LDH852042 KTH852042:KTL852042 KJL852042:KJP852042 JZP852042:JZT852042 JPT852042:JPX852042 JFX852042:JGB852042 IWB852042:IWF852042 IMF852042:IMJ852042 ICJ852042:ICN852042 HSN852042:HSR852042 HIR852042:HIV852042 GYV852042:GYZ852042 GOZ852042:GPD852042 GFD852042:GFH852042 FVH852042:FVL852042 FLL852042:FLP852042 FBP852042:FBT852042 ERT852042:ERX852042 EHX852042:EIB852042 DYB852042:DYF852042 DOF852042:DOJ852042 DEJ852042:DEN852042 CUN852042:CUR852042 CKR852042:CKV852042 CAV852042:CAZ852042 BQZ852042:BRD852042 BHD852042:BHH852042 AXH852042:AXL852042 ANL852042:ANP852042 ADP852042:ADT852042 TT852042:TX852042 JX852042:KB852042 AG852042:AK852042 WWJ786506:WWN786506 WMN786506:WMR786506 WCR786506:WCV786506 VSV786506:VSZ786506 VIZ786506:VJD786506 UZD786506:UZH786506 UPH786506:UPL786506 UFL786506:UFP786506 TVP786506:TVT786506 TLT786506:TLX786506 TBX786506:TCB786506 SSB786506:SSF786506 SIF786506:SIJ786506 RYJ786506:RYN786506 RON786506:ROR786506 RER786506:REV786506 QUV786506:QUZ786506 QKZ786506:QLD786506 QBD786506:QBH786506 PRH786506:PRL786506 PHL786506:PHP786506 OXP786506:OXT786506 ONT786506:ONX786506 ODX786506:OEB786506 NUB786506:NUF786506 NKF786506:NKJ786506 NAJ786506:NAN786506 MQN786506:MQR786506 MGR786506:MGV786506 LWV786506:LWZ786506 LMZ786506:LND786506 LDD786506:LDH786506 KTH786506:KTL786506 KJL786506:KJP786506 JZP786506:JZT786506 JPT786506:JPX786506 JFX786506:JGB786506 IWB786506:IWF786506 IMF786506:IMJ786506 ICJ786506:ICN786506 HSN786506:HSR786506 HIR786506:HIV786506 GYV786506:GYZ786506 GOZ786506:GPD786506 GFD786506:GFH786506 FVH786506:FVL786506 FLL786506:FLP786506 FBP786506:FBT786506 ERT786506:ERX786506 EHX786506:EIB786506 DYB786506:DYF786506 DOF786506:DOJ786506 DEJ786506:DEN786506 CUN786506:CUR786506 CKR786506:CKV786506 CAV786506:CAZ786506 BQZ786506:BRD786506 BHD786506:BHH786506 AXH786506:AXL786506 ANL786506:ANP786506 ADP786506:ADT786506 TT786506:TX786506 JX786506:KB786506 AG786506:AK786506 WWJ720970:WWN720970 WMN720970:WMR720970 WCR720970:WCV720970 VSV720970:VSZ720970 VIZ720970:VJD720970 UZD720970:UZH720970 UPH720970:UPL720970 UFL720970:UFP720970 TVP720970:TVT720970 TLT720970:TLX720970 TBX720970:TCB720970 SSB720970:SSF720970 SIF720970:SIJ720970 RYJ720970:RYN720970 RON720970:ROR720970 RER720970:REV720970 QUV720970:QUZ720970 QKZ720970:QLD720970 QBD720970:QBH720970 PRH720970:PRL720970 PHL720970:PHP720970 OXP720970:OXT720970 ONT720970:ONX720970 ODX720970:OEB720970 NUB720970:NUF720970 NKF720970:NKJ720970 NAJ720970:NAN720970 MQN720970:MQR720970 MGR720970:MGV720970 LWV720970:LWZ720970 LMZ720970:LND720970 LDD720970:LDH720970 KTH720970:KTL720970 KJL720970:KJP720970 JZP720970:JZT720970 JPT720970:JPX720970 JFX720970:JGB720970 IWB720970:IWF720970 IMF720970:IMJ720970 ICJ720970:ICN720970 HSN720970:HSR720970 HIR720970:HIV720970 GYV720970:GYZ720970 GOZ720970:GPD720970 GFD720970:GFH720970 FVH720970:FVL720970 FLL720970:FLP720970 FBP720970:FBT720970 ERT720970:ERX720970 EHX720970:EIB720970 DYB720970:DYF720970 DOF720970:DOJ720970 DEJ720970:DEN720970 CUN720970:CUR720970 CKR720970:CKV720970 CAV720970:CAZ720970 BQZ720970:BRD720970 BHD720970:BHH720970 AXH720970:AXL720970 ANL720970:ANP720970 ADP720970:ADT720970 TT720970:TX720970 JX720970:KB720970 AG720970:AK720970 WWJ655434:WWN655434 WMN655434:WMR655434 WCR655434:WCV655434 VSV655434:VSZ655434 VIZ655434:VJD655434 UZD655434:UZH655434 UPH655434:UPL655434 UFL655434:UFP655434 TVP655434:TVT655434 TLT655434:TLX655434 TBX655434:TCB655434 SSB655434:SSF655434 SIF655434:SIJ655434 RYJ655434:RYN655434 RON655434:ROR655434 RER655434:REV655434 QUV655434:QUZ655434 QKZ655434:QLD655434 QBD655434:QBH655434 PRH655434:PRL655434 PHL655434:PHP655434 OXP655434:OXT655434 ONT655434:ONX655434 ODX655434:OEB655434 NUB655434:NUF655434 NKF655434:NKJ655434 NAJ655434:NAN655434 MQN655434:MQR655434 MGR655434:MGV655434 LWV655434:LWZ655434 LMZ655434:LND655434 LDD655434:LDH655434 KTH655434:KTL655434 KJL655434:KJP655434 JZP655434:JZT655434 JPT655434:JPX655434 JFX655434:JGB655434 IWB655434:IWF655434 IMF655434:IMJ655434 ICJ655434:ICN655434 HSN655434:HSR655434 HIR655434:HIV655434 GYV655434:GYZ655434 GOZ655434:GPD655434 GFD655434:GFH655434 FVH655434:FVL655434 FLL655434:FLP655434 FBP655434:FBT655434 ERT655434:ERX655434 EHX655434:EIB655434 DYB655434:DYF655434 DOF655434:DOJ655434 DEJ655434:DEN655434 CUN655434:CUR655434 CKR655434:CKV655434 CAV655434:CAZ655434 BQZ655434:BRD655434 BHD655434:BHH655434 AXH655434:AXL655434 ANL655434:ANP655434 ADP655434:ADT655434 TT655434:TX655434 JX655434:KB655434 AG655434:AK655434 WWJ589898:WWN589898 WMN589898:WMR589898 WCR589898:WCV589898 VSV589898:VSZ589898 VIZ589898:VJD589898 UZD589898:UZH589898 UPH589898:UPL589898 UFL589898:UFP589898 TVP589898:TVT589898 TLT589898:TLX589898 TBX589898:TCB589898 SSB589898:SSF589898 SIF589898:SIJ589898 RYJ589898:RYN589898 RON589898:ROR589898 RER589898:REV589898 QUV589898:QUZ589898 QKZ589898:QLD589898 QBD589898:QBH589898 PRH589898:PRL589898 PHL589898:PHP589898 OXP589898:OXT589898 ONT589898:ONX589898 ODX589898:OEB589898 NUB589898:NUF589898 NKF589898:NKJ589898 NAJ589898:NAN589898 MQN589898:MQR589898 MGR589898:MGV589898 LWV589898:LWZ589898 LMZ589898:LND589898 LDD589898:LDH589898 KTH589898:KTL589898 KJL589898:KJP589898 JZP589898:JZT589898 JPT589898:JPX589898 JFX589898:JGB589898 IWB589898:IWF589898 IMF589898:IMJ589898 ICJ589898:ICN589898 HSN589898:HSR589898 HIR589898:HIV589898 GYV589898:GYZ589898 GOZ589898:GPD589898 GFD589898:GFH589898 FVH589898:FVL589898 FLL589898:FLP589898 FBP589898:FBT589898 ERT589898:ERX589898 EHX589898:EIB589898 DYB589898:DYF589898 DOF589898:DOJ589898 DEJ589898:DEN589898 CUN589898:CUR589898 CKR589898:CKV589898 CAV589898:CAZ589898 BQZ589898:BRD589898 BHD589898:BHH589898 AXH589898:AXL589898 ANL589898:ANP589898 ADP589898:ADT589898 TT589898:TX589898 JX589898:KB589898 AG589898:AK589898 WWJ524362:WWN524362 WMN524362:WMR524362 WCR524362:WCV524362 VSV524362:VSZ524362 VIZ524362:VJD524362 UZD524362:UZH524362 UPH524362:UPL524362 UFL524362:UFP524362 TVP524362:TVT524362 TLT524362:TLX524362 TBX524362:TCB524362 SSB524362:SSF524362 SIF524362:SIJ524362 RYJ524362:RYN524362 RON524362:ROR524362 RER524362:REV524362 QUV524362:QUZ524362 QKZ524362:QLD524362 QBD524362:QBH524362 PRH524362:PRL524362 PHL524362:PHP524362 OXP524362:OXT524362 ONT524362:ONX524362 ODX524362:OEB524362 NUB524362:NUF524362 NKF524362:NKJ524362 NAJ524362:NAN524362 MQN524362:MQR524362 MGR524362:MGV524362 LWV524362:LWZ524362 LMZ524362:LND524362 LDD524362:LDH524362 KTH524362:KTL524362 KJL524362:KJP524362 JZP524362:JZT524362 JPT524362:JPX524362 JFX524362:JGB524362 IWB524362:IWF524362 IMF524362:IMJ524362 ICJ524362:ICN524362 HSN524362:HSR524362 HIR524362:HIV524362 GYV524362:GYZ524362 GOZ524362:GPD524362 GFD524362:GFH524362 FVH524362:FVL524362 FLL524362:FLP524362 FBP524362:FBT524362 ERT524362:ERX524362 EHX524362:EIB524362 DYB524362:DYF524362 DOF524362:DOJ524362 DEJ524362:DEN524362 CUN524362:CUR524362 CKR524362:CKV524362 CAV524362:CAZ524362 BQZ524362:BRD524362 BHD524362:BHH524362 AXH524362:AXL524362 ANL524362:ANP524362 ADP524362:ADT524362 TT524362:TX524362 JX524362:KB524362 AG524362:AK524362 WWJ458826:WWN458826 WMN458826:WMR458826 WCR458826:WCV458826 VSV458826:VSZ458826 VIZ458826:VJD458826 UZD458826:UZH458826 UPH458826:UPL458826 UFL458826:UFP458826 TVP458826:TVT458826 TLT458826:TLX458826 TBX458826:TCB458826 SSB458826:SSF458826 SIF458826:SIJ458826 RYJ458826:RYN458826 RON458826:ROR458826 RER458826:REV458826 QUV458826:QUZ458826 QKZ458826:QLD458826 QBD458826:QBH458826 PRH458826:PRL458826 PHL458826:PHP458826 OXP458826:OXT458826 ONT458826:ONX458826 ODX458826:OEB458826 NUB458826:NUF458826 NKF458826:NKJ458826 NAJ458826:NAN458826 MQN458826:MQR458826 MGR458826:MGV458826 LWV458826:LWZ458826 LMZ458826:LND458826 LDD458826:LDH458826 KTH458826:KTL458826 KJL458826:KJP458826 JZP458826:JZT458826 JPT458826:JPX458826 JFX458826:JGB458826 IWB458826:IWF458826 IMF458826:IMJ458826 ICJ458826:ICN458826 HSN458826:HSR458826 HIR458826:HIV458826 GYV458826:GYZ458826 GOZ458826:GPD458826 GFD458826:GFH458826 FVH458826:FVL458826 FLL458826:FLP458826 FBP458826:FBT458826 ERT458826:ERX458826 EHX458826:EIB458826 DYB458826:DYF458826 DOF458826:DOJ458826 DEJ458826:DEN458826 CUN458826:CUR458826 CKR458826:CKV458826 CAV458826:CAZ458826 BQZ458826:BRD458826 BHD458826:BHH458826 AXH458826:AXL458826 ANL458826:ANP458826 ADP458826:ADT458826 TT458826:TX458826 JX458826:KB458826 AG458826:AK458826 WWJ393290:WWN393290 WMN393290:WMR393290 WCR393290:WCV393290 VSV393290:VSZ393290 VIZ393290:VJD393290 UZD393290:UZH393290 UPH393290:UPL393290 UFL393290:UFP393290 TVP393290:TVT393290 TLT393290:TLX393290 TBX393290:TCB393290 SSB393290:SSF393290 SIF393290:SIJ393290 RYJ393290:RYN393290 RON393290:ROR393290 RER393290:REV393290 QUV393290:QUZ393290 QKZ393290:QLD393290 QBD393290:QBH393290 PRH393290:PRL393290 PHL393290:PHP393290 OXP393290:OXT393290 ONT393290:ONX393290 ODX393290:OEB393290 NUB393290:NUF393290 NKF393290:NKJ393290 NAJ393290:NAN393290 MQN393290:MQR393290 MGR393290:MGV393290 LWV393290:LWZ393290 LMZ393290:LND393290 LDD393290:LDH393290 KTH393290:KTL393290 KJL393290:KJP393290 JZP393290:JZT393290 JPT393290:JPX393290 JFX393290:JGB393290 IWB393290:IWF393290 IMF393290:IMJ393290 ICJ393290:ICN393290 HSN393290:HSR393290 HIR393290:HIV393290 GYV393290:GYZ393290 GOZ393290:GPD393290 GFD393290:GFH393290 FVH393290:FVL393290 FLL393290:FLP393290 FBP393290:FBT393290 ERT393290:ERX393290 EHX393290:EIB393290 DYB393290:DYF393290 DOF393290:DOJ393290 DEJ393290:DEN393290 CUN393290:CUR393290 CKR393290:CKV393290 CAV393290:CAZ393290 BQZ393290:BRD393290 BHD393290:BHH393290 AXH393290:AXL393290 ANL393290:ANP393290 ADP393290:ADT393290 TT393290:TX393290 JX393290:KB393290 AG393290:AK393290 WWJ327754:WWN327754 WMN327754:WMR327754 WCR327754:WCV327754 VSV327754:VSZ327754 VIZ327754:VJD327754 UZD327754:UZH327754 UPH327754:UPL327754 UFL327754:UFP327754 TVP327754:TVT327754 TLT327754:TLX327754 TBX327754:TCB327754 SSB327754:SSF327754 SIF327754:SIJ327754 RYJ327754:RYN327754 RON327754:ROR327754 RER327754:REV327754 QUV327754:QUZ327754 QKZ327754:QLD327754 QBD327754:QBH327754 PRH327754:PRL327754 PHL327754:PHP327754 OXP327754:OXT327754 ONT327754:ONX327754 ODX327754:OEB327754 NUB327754:NUF327754 NKF327754:NKJ327754 NAJ327754:NAN327754 MQN327754:MQR327754 MGR327754:MGV327754 LWV327754:LWZ327754 LMZ327754:LND327754 LDD327754:LDH327754 KTH327754:KTL327754 KJL327754:KJP327754 JZP327754:JZT327754 JPT327754:JPX327754 JFX327754:JGB327754 IWB327754:IWF327754 IMF327754:IMJ327754 ICJ327754:ICN327754 HSN327754:HSR327754 HIR327754:HIV327754 GYV327754:GYZ327754 GOZ327754:GPD327754 GFD327754:GFH327754 FVH327754:FVL327754 FLL327754:FLP327754 FBP327754:FBT327754 ERT327754:ERX327754 EHX327754:EIB327754 DYB327754:DYF327754 DOF327754:DOJ327754 DEJ327754:DEN327754 CUN327754:CUR327754 CKR327754:CKV327754 CAV327754:CAZ327754 BQZ327754:BRD327754 BHD327754:BHH327754 AXH327754:AXL327754 ANL327754:ANP327754 ADP327754:ADT327754 TT327754:TX327754 JX327754:KB327754 AG327754:AK327754 WWJ262218:WWN262218 WMN262218:WMR262218 WCR262218:WCV262218 VSV262218:VSZ262218 VIZ262218:VJD262218 UZD262218:UZH262218 UPH262218:UPL262218 UFL262218:UFP262218 TVP262218:TVT262218 TLT262218:TLX262218 TBX262218:TCB262218 SSB262218:SSF262218 SIF262218:SIJ262218 RYJ262218:RYN262218 RON262218:ROR262218 RER262218:REV262218 QUV262218:QUZ262218 QKZ262218:QLD262218 QBD262218:QBH262218 PRH262218:PRL262218 PHL262218:PHP262218 OXP262218:OXT262218 ONT262218:ONX262218 ODX262218:OEB262218 NUB262218:NUF262218 NKF262218:NKJ262218 NAJ262218:NAN262218 MQN262218:MQR262218 MGR262218:MGV262218 LWV262218:LWZ262218 LMZ262218:LND262218 LDD262218:LDH262218 KTH262218:KTL262218 KJL262218:KJP262218 JZP262218:JZT262218 JPT262218:JPX262218 JFX262218:JGB262218 IWB262218:IWF262218 IMF262218:IMJ262218 ICJ262218:ICN262218 HSN262218:HSR262218 HIR262218:HIV262218 GYV262218:GYZ262218 GOZ262218:GPD262218 GFD262218:GFH262218 FVH262218:FVL262218 FLL262218:FLP262218 FBP262218:FBT262218 ERT262218:ERX262218 EHX262218:EIB262218 DYB262218:DYF262218 DOF262218:DOJ262218 DEJ262218:DEN262218 CUN262218:CUR262218 CKR262218:CKV262218 CAV262218:CAZ262218 BQZ262218:BRD262218 BHD262218:BHH262218 AXH262218:AXL262218 ANL262218:ANP262218 ADP262218:ADT262218 TT262218:TX262218 JX262218:KB262218 AG262218:AK262218 WWJ196682:WWN196682 WMN196682:WMR196682 WCR196682:WCV196682 VSV196682:VSZ196682 VIZ196682:VJD196682 UZD196682:UZH196682 UPH196682:UPL196682 UFL196682:UFP196682 TVP196682:TVT196682 TLT196682:TLX196682 TBX196682:TCB196682 SSB196682:SSF196682 SIF196682:SIJ196682 RYJ196682:RYN196682 RON196682:ROR196682 RER196682:REV196682 QUV196682:QUZ196682 QKZ196682:QLD196682 QBD196682:QBH196682 PRH196682:PRL196682 PHL196682:PHP196682 OXP196682:OXT196682 ONT196682:ONX196682 ODX196682:OEB196682 NUB196682:NUF196682 NKF196682:NKJ196682 NAJ196682:NAN196682 MQN196682:MQR196682 MGR196682:MGV196682 LWV196682:LWZ196682 LMZ196682:LND196682 LDD196682:LDH196682 KTH196682:KTL196682 KJL196682:KJP196682 JZP196682:JZT196682 JPT196682:JPX196682 JFX196682:JGB196682 IWB196682:IWF196682 IMF196682:IMJ196682 ICJ196682:ICN196682 HSN196682:HSR196682 HIR196682:HIV196682 GYV196682:GYZ196682 GOZ196682:GPD196682 GFD196682:GFH196682 FVH196682:FVL196682 FLL196682:FLP196682 FBP196682:FBT196682 ERT196682:ERX196682 EHX196682:EIB196682 DYB196682:DYF196682 DOF196682:DOJ196682 DEJ196682:DEN196682 CUN196682:CUR196682 CKR196682:CKV196682 CAV196682:CAZ196682 BQZ196682:BRD196682 BHD196682:BHH196682 AXH196682:AXL196682 ANL196682:ANP196682 ADP196682:ADT196682 TT196682:TX196682 JX196682:KB196682 AG196682:AK196682 WWJ131146:WWN131146 WMN131146:WMR131146 WCR131146:WCV131146 VSV131146:VSZ131146 VIZ131146:VJD131146 UZD131146:UZH131146 UPH131146:UPL131146 UFL131146:UFP131146 TVP131146:TVT131146 TLT131146:TLX131146 TBX131146:TCB131146 SSB131146:SSF131146 SIF131146:SIJ131146 RYJ131146:RYN131146 RON131146:ROR131146 RER131146:REV131146 QUV131146:QUZ131146 QKZ131146:QLD131146 QBD131146:QBH131146 PRH131146:PRL131146 PHL131146:PHP131146 OXP131146:OXT131146 ONT131146:ONX131146 ODX131146:OEB131146 NUB131146:NUF131146 NKF131146:NKJ131146 NAJ131146:NAN131146 MQN131146:MQR131146 MGR131146:MGV131146 LWV131146:LWZ131146 LMZ131146:LND131146 LDD131146:LDH131146 KTH131146:KTL131146 KJL131146:KJP131146 JZP131146:JZT131146 JPT131146:JPX131146 JFX131146:JGB131146 IWB131146:IWF131146 IMF131146:IMJ131146 ICJ131146:ICN131146 HSN131146:HSR131146 HIR131146:HIV131146 GYV131146:GYZ131146 GOZ131146:GPD131146 GFD131146:GFH131146 FVH131146:FVL131146 FLL131146:FLP131146 FBP131146:FBT131146 ERT131146:ERX131146 EHX131146:EIB131146 DYB131146:DYF131146 DOF131146:DOJ131146 DEJ131146:DEN131146 CUN131146:CUR131146 CKR131146:CKV131146 CAV131146:CAZ131146 BQZ131146:BRD131146 BHD131146:BHH131146 AXH131146:AXL131146 ANL131146:ANP131146 ADP131146:ADT131146 TT131146:TX131146 JX131146:KB131146 AG131146:AK131146 WWJ65610:WWN65610 WMN65610:WMR65610 WCR65610:WCV65610 VSV65610:VSZ65610 VIZ65610:VJD65610 UZD65610:UZH65610 UPH65610:UPL65610 UFL65610:UFP65610 TVP65610:TVT65610 TLT65610:TLX65610 TBX65610:TCB65610 SSB65610:SSF65610 SIF65610:SIJ65610 RYJ65610:RYN65610 RON65610:ROR65610 RER65610:REV65610 QUV65610:QUZ65610 QKZ65610:QLD65610 QBD65610:QBH65610 PRH65610:PRL65610 PHL65610:PHP65610 OXP65610:OXT65610 ONT65610:ONX65610 ODX65610:OEB65610 NUB65610:NUF65610 NKF65610:NKJ65610 NAJ65610:NAN65610 MQN65610:MQR65610 MGR65610:MGV65610 LWV65610:LWZ65610 LMZ65610:LND65610 LDD65610:LDH65610 KTH65610:KTL65610 KJL65610:KJP65610 JZP65610:JZT65610 JPT65610:JPX65610 JFX65610:JGB65610 IWB65610:IWF65610 IMF65610:IMJ65610 ICJ65610:ICN65610 HSN65610:HSR65610 HIR65610:HIV65610 GYV65610:GYZ65610 GOZ65610:GPD65610 GFD65610:GFH65610 FVH65610:FVL65610 FLL65610:FLP65610 FBP65610:FBT65610 ERT65610:ERX65610 EHX65610:EIB65610 DYB65610:DYF65610 DOF65610:DOJ65610 DEJ65610:DEN65610 CUN65610:CUR65610 CKR65610:CKV65610 CAV65610:CAZ65610 BQZ65610:BRD65610 BHD65610:BHH65610 AXH65610:AXL65610 ANL65610:ANP65610 ADP65610:ADT65610 TT65610:TX65610 JX65610:KB65610 AG65610:AK65610 WWJ72:WWN72 WMN72:WMR72 WCR72:WCV72 VSV72:VSZ72 VIZ72:VJD72 UZD72:UZH72 UPH72:UPL72 UFL72:UFP72 TVP72:TVT72 TLT72:TLX72 TBX72:TCB72 SSB72:SSF72 SIF72:SIJ72 RYJ72:RYN72 RON72:ROR72 RER72:REV72 QUV72:QUZ72 QKZ72:QLD72 QBD72:QBH72 PRH72:PRL72 PHL72:PHP72 OXP72:OXT72 ONT72:ONX72 ODX72:OEB72 NUB72:NUF72 NKF72:NKJ72 NAJ72:NAN72 MQN72:MQR72 MGR72:MGV72 LWV72:LWZ72 LMZ72:LND72 LDD72:LDH72 KTH72:KTL72 KJL72:KJP72 JZP72:JZT72 JPT72:JPX72 JFX72:JGB72 IWB72:IWF72 IMF72:IMJ72 ICJ72:ICN72 HSN72:HSR72 HIR72:HIV72 GYV72:GYZ72 GOZ72:GPD72 GFD72:GFH72 FVH72:FVL72 FLL72:FLP72 FBP72:FBT72 ERT72:ERX72 EHX72:EIB72 DYB72:DYF72 DOF72:DOJ72 DEJ72:DEN72 CUN72:CUR72 CKR72:CKV72 CAV72:CAZ72 BQZ72:BRD72 BHD72:BHH72 AXH72:AXL72 ANL72:ANP72 ADP72:ADT72 TT72:TX72 JX72:KB72 AG72:AK72 WWJ983124:WWN983124 WMN983124:WMR983124 WCR983124:WCV983124 VSV983124:VSZ983124 VIZ983124:VJD983124 UZD983124:UZH983124 UPH983124:UPL983124 UFL983124:UFP983124 TVP983124:TVT983124 TLT983124:TLX983124 TBX983124:TCB983124 SSB983124:SSF983124 SIF983124:SIJ983124 RYJ983124:RYN983124 RON983124:ROR983124 RER983124:REV983124 QUV983124:QUZ983124 QKZ983124:QLD983124 QBD983124:QBH983124 PRH983124:PRL983124 PHL983124:PHP983124 OXP983124:OXT983124 ONT983124:ONX983124 ODX983124:OEB983124 NUB983124:NUF983124 NKF983124:NKJ983124 NAJ983124:NAN983124 MQN983124:MQR983124 MGR983124:MGV983124 LWV983124:LWZ983124 LMZ983124:LND983124 LDD983124:LDH983124 KTH983124:KTL983124 KJL983124:KJP983124 JZP983124:JZT983124 JPT983124:JPX983124 JFX983124:JGB983124 IWB983124:IWF983124 IMF983124:IMJ983124 ICJ983124:ICN983124 HSN983124:HSR983124 HIR983124:HIV983124 GYV983124:GYZ983124 GOZ983124:GPD983124 GFD983124:GFH983124 FVH983124:FVL983124 FLL983124:FLP983124 FBP983124:FBT983124 ERT983124:ERX983124 EHX983124:EIB983124 DYB983124:DYF983124 DOF983124:DOJ983124 DEJ983124:DEN983124 CUN983124:CUR983124 CKR983124:CKV983124 CAV983124:CAZ983124 BQZ983124:BRD983124 BHD983124:BHH983124 AXH983124:AXL983124 ANL983124:ANP983124 ADP983124:ADT983124 TT983124:TX983124 JX983124:KB983124 AG983124:AK983124 WWJ917588:WWN917588 WMN917588:WMR917588 WCR917588:WCV917588 VSV917588:VSZ917588 VIZ917588:VJD917588 UZD917588:UZH917588 UPH917588:UPL917588 UFL917588:UFP917588 TVP917588:TVT917588 TLT917588:TLX917588 TBX917588:TCB917588 SSB917588:SSF917588 SIF917588:SIJ917588 RYJ917588:RYN917588 RON917588:ROR917588 RER917588:REV917588 QUV917588:QUZ917588 QKZ917588:QLD917588 QBD917588:QBH917588 PRH917588:PRL917588 PHL917588:PHP917588 OXP917588:OXT917588 ONT917588:ONX917588 ODX917588:OEB917588 NUB917588:NUF917588 NKF917588:NKJ917588 NAJ917588:NAN917588 MQN917588:MQR917588 MGR917588:MGV917588 LWV917588:LWZ917588 LMZ917588:LND917588 LDD917588:LDH917588 KTH917588:KTL917588 KJL917588:KJP917588 JZP917588:JZT917588 JPT917588:JPX917588 JFX917588:JGB917588 IWB917588:IWF917588 IMF917588:IMJ917588 ICJ917588:ICN917588 HSN917588:HSR917588 HIR917588:HIV917588 GYV917588:GYZ917588 GOZ917588:GPD917588 GFD917588:GFH917588 FVH917588:FVL917588 FLL917588:FLP917588 FBP917588:FBT917588 ERT917588:ERX917588 EHX917588:EIB917588 DYB917588:DYF917588 DOF917588:DOJ917588 DEJ917588:DEN917588 CUN917588:CUR917588 CKR917588:CKV917588 CAV917588:CAZ917588 BQZ917588:BRD917588 BHD917588:BHH917588 AXH917588:AXL917588 ANL917588:ANP917588 ADP917588:ADT917588 TT917588:TX917588 JX917588:KB917588 AG917588:AK917588 WWJ852052:WWN852052 WMN852052:WMR852052 WCR852052:WCV852052 VSV852052:VSZ852052 VIZ852052:VJD852052 UZD852052:UZH852052 UPH852052:UPL852052 UFL852052:UFP852052 TVP852052:TVT852052 TLT852052:TLX852052 TBX852052:TCB852052 SSB852052:SSF852052 SIF852052:SIJ852052 RYJ852052:RYN852052 RON852052:ROR852052 RER852052:REV852052 QUV852052:QUZ852052 QKZ852052:QLD852052 QBD852052:QBH852052 PRH852052:PRL852052 PHL852052:PHP852052 OXP852052:OXT852052 ONT852052:ONX852052 ODX852052:OEB852052 NUB852052:NUF852052 NKF852052:NKJ852052 NAJ852052:NAN852052 MQN852052:MQR852052 MGR852052:MGV852052 LWV852052:LWZ852052 LMZ852052:LND852052 LDD852052:LDH852052 KTH852052:KTL852052 KJL852052:KJP852052 JZP852052:JZT852052 JPT852052:JPX852052 JFX852052:JGB852052 IWB852052:IWF852052 IMF852052:IMJ852052 ICJ852052:ICN852052 HSN852052:HSR852052 HIR852052:HIV852052 GYV852052:GYZ852052 GOZ852052:GPD852052 GFD852052:GFH852052 FVH852052:FVL852052 FLL852052:FLP852052 FBP852052:FBT852052 ERT852052:ERX852052 EHX852052:EIB852052 DYB852052:DYF852052 DOF852052:DOJ852052 DEJ852052:DEN852052 CUN852052:CUR852052 CKR852052:CKV852052 CAV852052:CAZ852052 BQZ852052:BRD852052 BHD852052:BHH852052 AXH852052:AXL852052 ANL852052:ANP852052 ADP852052:ADT852052 TT852052:TX852052 JX852052:KB852052 AG852052:AK852052 WWJ786516:WWN786516 WMN786516:WMR786516 WCR786516:WCV786516 VSV786516:VSZ786516 VIZ786516:VJD786516 UZD786516:UZH786516 UPH786516:UPL786516 UFL786516:UFP786516 TVP786516:TVT786516 TLT786516:TLX786516 TBX786516:TCB786516 SSB786516:SSF786516 SIF786516:SIJ786516 RYJ786516:RYN786516 RON786516:ROR786516 RER786516:REV786516 QUV786516:QUZ786516 QKZ786516:QLD786516 QBD786516:QBH786516 PRH786516:PRL786516 PHL786516:PHP786516 OXP786516:OXT786516 ONT786516:ONX786516 ODX786516:OEB786516 NUB786516:NUF786516 NKF786516:NKJ786516 NAJ786516:NAN786516 MQN786516:MQR786516 MGR786516:MGV786516 LWV786516:LWZ786516 LMZ786516:LND786516 LDD786516:LDH786516 KTH786516:KTL786516 KJL786516:KJP786516 JZP786516:JZT786516 JPT786516:JPX786516 JFX786516:JGB786516 IWB786516:IWF786516 IMF786516:IMJ786516 ICJ786516:ICN786516 HSN786516:HSR786516 HIR786516:HIV786516 GYV786516:GYZ786516 GOZ786516:GPD786516 GFD786516:GFH786516 FVH786516:FVL786516 FLL786516:FLP786516 FBP786516:FBT786516 ERT786516:ERX786516 EHX786516:EIB786516 DYB786516:DYF786516 DOF786516:DOJ786516 DEJ786516:DEN786516 CUN786516:CUR786516 CKR786516:CKV786516 CAV786516:CAZ786516 BQZ786516:BRD786516 BHD786516:BHH786516 AXH786516:AXL786516 ANL786516:ANP786516 ADP786516:ADT786516 TT786516:TX786516 JX786516:KB786516 AG786516:AK786516 WWJ720980:WWN720980 WMN720980:WMR720980 WCR720980:WCV720980 VSV720980:VSZ720980 VIZ720980:VJD720980 UZD720980:UZH720980 UPH720980:UPL720980 UFL720980:UFP720980 TVP720980:TVT720980 TLT720980:TLX720980 TBX720980:TCB720980 SSB720980:SSF720980 SIF720980:SIJ720980 RYJ720980:RYN720980 RON720980:ROR720980 RER720980:REV720980 QUV720980:QUZ720980 QKZ720980:QLD720980 QBD720980:QBH720980 PRH720980:PRL720980 PHL720980:PHP720980 OXP720980:OXT720980 ONT720980:ONX720980 ODX720980:OEB720980 NUB720980:NUF720980 NKF720980:NKJ720980 NAJ720980:NAN720980 MQN720980:MQR720980 MGR720980:MGV720980 LWV720980:LWZ720980 LMZ720980:LND720980 LDD720980:LDH720980 KTH720980:KTL720980 KJL720980:KJP720980 JZP720980:JZT720980 JPT720980:JPX720980 JFX720980:JGB720980 IWB720980:IWF720980 IMF720980:IMJ720980 ICJ720980:ICN720980 HSN720980:HSR720980 HIR720980:HIV720980 GYV720980:GYZ720980 GOZ720980:GPD720980 GFD720980:GFH720980 FVH720980:FVL720980 FLL720980:FLP720980 FBP720980:FBT720980 ERT720980:ERX720980 EHX720980:EIB720980 DYB720980:DYF720980 DOF720980:DOJ720980 DEJ720980:DEN720980 CUN720980:CUR720980 CKR720980:CKV720980 CAV720980:CAZ720980 BQZ720980:BRD720980 BHD720980:BHH720980 AXH720980:AXL720980 ANL720980:ANP720980 ADP720980:ADT720980 TT720980:TX720980 JX720980:KB720980 AG720980:AK720980 WWJ655444:WWN655444 WMN655444:WMR655444 WCR655444:WCV655444 VSV655444:VSZ655444 VIZ655444:VJD655444 UZD655444:UZH655444 UPH655444:UPL655444 UFL655444:UFP655444 TVP655444:TVT655444 TLT655444:TLX655444 TBX655444:TCB655444 SSB655444:SSF655444 SIF655444:SIJ655444 RYJ655444:RYN655444 RON655444:ROR655444 RER655444:REV655444 QUV655444:QUZ655444 QKZ655444:QLD655444 QBD655444:QBH655444 PRH655444:PRL655444 PHL655444:PHP655444 OXP655444:OXT655444 ONT655444:ONX655444 ODX655444:OEB655444 NUB655444:NUF655444 NKF655444:NKJ655444 NAJ655444:NAN655444 MQN655444:MQR655444 MGR655444:MGV655444 LWV655444:LWZ655444 LMZ655444:LND655444 LDD655444:LDH655444 KTH655444:KTL655444 KJL655444:KJP655444 JZP655444:JZT655444 JPT655444:JPX655444 JFX655444:JGB655444 IWB655444:IWF655444 IMF655444:IMJ655444 ICJ655444:ICN655444 HSN655444:HSR655444 HIR655444:HIV655444 GYV655444:GYZ655444 GOZ655444:GPD655444 GFD655444:GFH655444 FVH655444:FVL655444 FLL655444:FLP655444 FBP655444:FBT655444 ERT655444:ERX655444 EHX655444:EIB655444 DYB655444:DYF655444 DOF655444:DOJ655444 DEJ655444:DEN655444 CUN655444:CUR655444 CKR655444:CKV655444 CAV655444:CAZ655444 BQZ655444:BRD655444 BHD655444:BHH655444 AXH655444:AXL655444 ANL655444:ANP655444 ADP655444:ADT655444 TT655444:TX655444 JX655444:KB655444 AG655444:AK655444 WWJ589908:WWN589908 WMN589908:WMR589908 WCR589908:WCV589908 VSV589908:VSZ589908 VIZ589908:VJD589908 UZD589908:UZH589908 UPH589908:UPL589908 UFL589908:UFP589908 TVP589908:TVT589908 TLT589908:TLX589908 TBX589908:TCB589908 SSB589908:SSF589908 SIF589908:SIJ589908 RYJ589908:RYN589908 RON589908:ROR589908 RER589908:REV589908 QUV589908:QUZ589908 QKZ589908:QLD589908 QBD589908:QBH589908 PRH589908:PRL589908 PHL589908:PHP589908 OXP589908:OXT589908 ONT589908:ONX589908 ODX589908:OEB589908 NUB589908:NUF589908 NKF589908:NKJ589908 NAJ589908:NAN589908 MQN589908:MQR589908 MGR589908:MGV589908 LWV589908:LWZ589908 LMZ589908:LND589908 LDD589908:LDH589908 KTH589908:KTL589908 KJL589908:KJP589908 JZP589908:JZT589908 JPT589908:JPX589908 JFX589908:JGB589908 IWB589908:IWF589908 IMF589908:IMJ589908 ICJ589908:ICN589908 HSN589908:HSR589908 HIR589908:HIV589908 GYV589908:GYZ589908 GOZ589908:GPD589908 GFD589908:GFH589908 FVH589908:FVL589908 FLL589908:FLP589908 FBP589908:FBT589908 ERT589908:ERX589908 EHX589908:EIB589908 DYB589908:DYF589908 DOF589908:DOJ589908 DEJ589908:DEN589908 CUN589908:CUR589908 CKR589908:CKV589908 CAV589908:CAZ589908 BQZ589908:BRD589908 BHD589908:BHH589908 AXH589908:AXL589908 ANL589908:ANP589908 ADP589908:ADT589908 TT589908:TX589908 JX589908:KB589908 AG589908:AK589908 WWJ524372:WWN524372 WMN524372:WMR524372 WCR524372:WCV524372 VSV524372:VSZ524372 VIZ524372:VJD524372 UZD524372:UZH524372 UPH524372:UPL524372 UFL524372:UFP524372 TVP524372:TVT524372 TLT524372:TLX524372 TBX524372:TCB524372 SSB524372:SSF524372 SIF524372:SIJ524372 RYJ524372:RYN524372 RON524372:ROR524372 RER524372:REV524372 QUV524372:QUZ524372 QKZ524372:QLD524372 QBD524372:QBH524372 PRH524372:PRL524372 PHL524372:PHP524372 OXP524372:OXT524372 ONT524372:ONX524372 ODX524372:OEB524372 NUB524372:NUF524372 NKF524372:NKJ524372 NAJ524372:NAN524372 MQN524372:MQR524372 MGR524372:MGV524372 LWV524372:LWZ524372 LMZ524372:LND524372 LDD524372:LDH524372 KTH524372:KTL524372 KJL524372:KJP524372 JZP524372:JZT524372 JPT524372:JPX524372 JFX524372:JGB524372 IWB524372:IWF524372 IMF524372:IMJ524372 ICJ524372:ICN524372 HSN524372:HSR524372 HIR524372:HIV524372 GYV524372:GYZ524372 GOZ524372:GPD524372 GFD524372:GFH524372 FVH524372:FVL524372 FLL524372:FLP524372 FBP524372:FBT524372 ERT524372:ERX524372 EHX524372:EIB524372 DYB524372:DYF524372 DOF524372:DOJ524372 DEJ524372:DEN524372 CUN524372:CUR524372 CKR524372:CKV524372 CAV524372:CAZ524372 BQZ524372:BRD524372 BHD524372:BHH524372 AXH524372:AXL524372 ANL524372:ANP524372 ADP524372:ADT524372 TT524372:TX524372 JX524372:KB524372 AG524372:AK524372 WWJ458836:WWN458836 WMN458836:WMR458836 WCR458836:WCV458836 VSV458836:VSZ458836 VIZ458836:VJD458836 UZD458836:UZH458836 UPH458836:UPL458836 UFL458836:UFP458836 TVP458836:TVT458836 TLT458836:TLX458836 TBX458836:TCB458836 SSB458836:SSF458836 SIF458836:SIJ458836 RYJ458836:RYN458836 RON458836:ROR458836 RER458836:REV458836 QUV458836:QUZ458836 QKZ458836:QLD458836 QBD458836:QBH458836 PRH458836:PRL458836 PHL458836:PHP458836 OXP458836:OXT458836 ONT458836:ONX458836 ODX458836:OEB458836 NUB458836:NUF458836 NKF458836:NKJ458836 NAJ458836:NAN458836 MQN458836:MQR458836 MGR458836:MGV458836 LWV458836:LWZ458836 LMZ458836:LND458836 LDD458836:LDH458836 KTH458836:KTL458836 KJL458836:KJP458836 JZP458836:JZT458836 JPT458836:JPX458836 JFX458836:JGB458836 IWB458836:IWF458836 IMF458836:IMJ458836 ICJ458836:ICN458836 HSN458836:HSR458836 HIR458836:HIV458836 GYV458836:GYZ458836 GOZ458836:GPD458836 GFD458836:GFH458836 FVH458836:FVL458836 FLL458836:FLP458836 FBP458836:FBT458836 ERT458836:ERX458836 EHX458836:EIB458836 DYB458836:DYF458836 DOF458836:DOJ458836 DEJ458836:DEN458836 CUN458836:CUR458836 CKR458836:CKV458836 CAV458836:CAZ458836 BQZ458836:BRD458836 BHD458836:BHH458836 AXH458836:AXL458836 ANL458836:ANP458836 ADP458836:ADT458836 TT458836:TX458836 JX458836:KB458836 AG458836:AK458836 WWJ393300:WWN393300 WMN393300:WMR393300 WCR393300:WCV393300 VSV393300:VSZ393300 VIZ393300:VJD393300 UZD393300:UZH393300 UPH393300:UPL393300 UFL393300:UFP393300 TVP393300:TVT393300 TLT393300:TLX393300 TBX393300:TCB393300 SSB393300:SSF393300 SIF393300:SIJ393300 RYJ393300:RYN393300 RON393300:ROR393300 RER393300:REV393300 QUV393300:QUZ393300 QKZ393300:QLD393300 QBD393300:QBH393300 PRH393300:PRL393300 PHL393300:PHP393300 OXP393300:OXT393300 ONT393300:ONX393300 ODX393300:OEB393300 NUB393300:NUF393300 NKF393300:NKJ393300 NAJ393300:NAN393300 MQN393300:MQR393300 MGR393300:MGV393300 LWV393300:LWZ393300 LMZ393300:LND393300 LDD393300:LDH393300 KTH393300:KTL393300 KJL393300:KJP393300 JZP393300:JZT393300 JPT393300:JPX393300 JFX393300:JGB393300 IWB393300:IWF393300 IMF393300:IMJ393300 ICJ393300:ICN393300 HSN393300:HSR393300 HIR393300:HIV393300 GYV393300:GYZ393300 GOZ393300:GPD393300 GFD393300:GFH393300 FVH393300:FVL393300 FLL393300:FLP393300 FBP393300:FBT393300 ERT393300:ERX393300 EHX393300:EIB393300 DYB393300:DYF393300 DOF393300:DOJ393300 DEJ393300:DEN393300 CUN393300:CUR393300 CKR393300:CKV393300 CAV393300:CAZ393300 BQZ393300:BRD393300 BHD393300:BHH393300 AXH393300:AXL393300 ANL393300:ANP393300 ADP393300:ADT393300 TT393300:TX393300 JX393300:KB393300 AG393300:AK393300 WWJ327764:WWN327764 WMN327764:WMR327764 WCR327764:WCV327764 VSV327764:VSZ327764 VIZ327764:VJD327764 UZD327764:UZH327764 UPH327764:UPL327764 UFL327764:UFP327764 TVP327764:TVT327764 TLT327764:TLX327764 TBX327764:TCB327764 SSB327764:SSF327764 SIF327764:SIJ327764 RYJ327764:RYN327764 RON327764:ROR327764 RER327764:REV327764 QUV327764:QUZ327764 QKZ327764:QLD327764 QBD327764:QBH327764 PRH327764:PRL327764 PHL327764:PHP327764 OXP327764:OXT327764 ONT327764:ONX327764 ODX327764:OEB327764 NUB327764:NUF327764 NKF327764:NKJ327764 NAJ327764:NAN327764 MQN327764:MQR327764 MGR327764:MGV327764 LWV327764:LWZ327764 LMZ327764:LND327764 LDD327764:LDH327764 KTH327764:KTL327764 KJL327764:KJP327764 JZP327764:JZT327764 JPT327764:JPX327764 JFX327764:JGB327764 IWB327764:IWF327764 IMF327764:IMJ327764 ICJ327764:ICN327764 HSN327764:HSR327764 HIR327764:HIV327764 GYV327764:GYZ327764 GOZ327764:GPD327764 GFD327764:GFH327764 FVH327764:FVL327764 FLL327764:FLP327764 FBP327764:FBT327764 ERT327764:ERX327764 EHX327764:EIB327764 DYB327764:DYF327764 DOF327764:DOJ327764 DEJ327764:DEN327764 CUN327764:CUR327764 CKR327764:CKV327764 CAV327764:CAZ327764 BQZ327764:BRD327764 BHD327764:BHH327764 AXH327764:AXL327764 ANL327764:ANP327764 ADP327764:ADT327764 TT327764:TX327764 JX327764:KB327764 AG327764:AK327764 WWJ262228:WWN262228 WMN262228:WMR262228 WCR262228:WCV262228 VSV262228:VSZ262228 VIZ262228:VJD262228 UZD262228:UZH262228 UPH262228:UPL262228 UFL262228:UFP262228 TVP262228:TVT262228 TLT262228:TLX262228 TBX262228:TCB262228 SSB262228:SSF262228 SIF262228:SIJ262228 RYJ262228:RYN262228 RON262228:ROR262228 RER262228:REV262228 QUV262228:QUZ262228 QKZ262228:QLD262228 QBD262228:QBH262228 PRH262228:PRL262228 PHL262228:PHP262228 OXP262228:OXT262228 ONT262228:ONX262228 ODX262228:OEB262228 NUB262228:NUF262228 NKF262228:NKJ262228 NAJ262228:NAN262228 MQN262228:MQR262228 MGR262228:MGV262228 LWV262228:LWZ262228 LMZ262228:LND262228 LDD262228:LDH262228 KTH262228:KTL262228 KJL262228:KJP262228 JZP262228:JZT262228 JPT262228:JPX262228 JFX262228:JGB262228 IWB262228:IWF262228 IMF262228:IMJ262228 ICJ262228:ICN262228 HSN262228:HSR262228 HIR262228:HIV262228 GYV262228:GYZ262228 GOZ262228:GPD262228 GFD262228:GFH262228 FVH262228:FVL262228 FLL262228:FLP262228 FBP262228:FBT262228 ERT262228:ERX262228 EHX262228:EIB262228 DYB262228:DYF262228 DOF262228:DOJ262228 DEJ262228:DEN262228 CUN262228:CUR262228 CKR262228:CKV262228 CAV262228:CAZ262228 BQZ262228:BRD262228 BHD262228:BHH262228 AXH262228:AXL262228 ANL262228:ANP262228 ADP262228:ADT262228 TT262228:TX262228 JX262228:KB262228 AG262228:AK262228 WWJ196692:WWN196692 WMN196692:WMR196692 WCR196692:WCV196692 VSV196692:VSZ196692 VIZ196692:VJD196692 UZD196692:UZH196692 UPH196692:UPL196692 UFL196692:UFP196692 TVP196692:TVT196692 TLT196692:TLX196692 TBX196692:TCB196692 SSB196692:SSF196692 SIF196692:SIJ196692 RYJ196692:RYN196692 RON196692:ROR196692 RER196692:REV196692 QUV196692:QUZ196692 QKZ196692:QLD196692 QBD196692:QBH196692 PRH196692:PRL196692 PHL196692:PHP196692 OXP196692:OXT196692 ONT196692:ONX196692 ODX196692:OEB196692 NUB196692:NUF196692 NKF196692:NKJ196692 NAJ196692:NAN196692 MQN196692:MQR196692 MGR196692:MGV196692 LWV196692:LWZ196692 LMZ196692:LND196692 LDD196692:LDH196692 KTH196692:KTL196692 KJL196692:KJP196692 JZP196692:JZT196692 JPT196692:JPX196692 JFX196692:JGB196692 IWB196692:IWF196692 IMF196692:IMJ196692 ICJ196692:ICN196692 HSN196692:HSR196692 HIR196692:HIV196692 GYV196692:GYZ196692 GOZ196692:GPD196692 GFD196692:GFH196692 FVH196692:FVL196692 FLL196692:FLP196692 FBP196692:FBT196692 ERT196692:ERX196692 EHX196692:EIB196692 DYB196692:DYF196692 DOF196692:DOJ196692 DEJ196692:DEN196692 CUN196692:CUR196692 CKR196692:CKV196692 CAV196692:CAZ196692 BQZ196692:BRD196692 BHD196692:BHH196692 AXH196692:AXL196692 ANL196692:ANP196692 ADP196692:ADT196692 TT196692:TX196692 JX196692:KB196692 AG196692:AK196692 WWJ131156:WWN131156 WMN131156:WMR131156 WCR131156:WCV131156 VSV131156:VSZ131156 VIZ131156:VJD131156 UZD131156:UZH131156 UPH131156:UPL131156 UFL131156:UFP131156 TVP131156:TVT131156 TLT131156:TLX131156 TBX131156:TCB131156 SSB131156:SSF131156 SIF131156:SIJ131156 RYJ131156:RYN131156 RON131156:ROR131156 RER131156:REV131156 QUV131156:QUZ131156 QKZ131156:QLD131156 QBD131156:QBH131156 PRH131156:PRL131156 PHL131156:PHP131156 OXP131156:OXT131156 ONT131156:ONX131156 ODX131156:OEB131156 NUB131156:NUF131156 NKF131156:NKJ131156 NAJ131156:NAN131156 MQN131156:MQR131156 MGR131156:MGV131156 LWV131156:LWZ131156 LMZ131156:LND131156 LDD131156:LDH131156 KTH131156:KTL131156 KJL131156:KJP131156 JZP131156:JZT131156 JPT131156:JPX131156 JFX131156:JGB131156 IWB131156:IWF131156 IMF131156:IMJ131156 ICJ131156:ICN131156 HSN131156:HSR131156 HIR131156:HIV131156 GYV131156:GYZ131156 GOZ131156:GPD131156 GFD131156:GFH131156 FVH131156:FVL131156 FLL131156:FLP131156 FBP131156:FBT131156 ERT131156:ERX131156 EHX131156:EIB131156 DYB131156:DYF131156 DOF131156:DOJ131156 DEJ131156:DEN131156 CUN131156:CUR131156 CKR131156:CKV131156 CAV131156:CAZ131156 BQZ131156:BRD131156 BHD131156:BHH131156 AXH131156:AXL131156 ANL131156:ANP131156 ADP131156:ADT131156 TT131156:TX131156 JX131156:KB131156 AG131156:AK131156 WWJ65620:WWN65620 WMN65620:WMR65620 WCR65620:WCV65620 VSV65620:VSZ65620 VIZ65620:VJD65620 UZD65620:UZH65620 UPH65620:UPL65620 UFL65620:UFP65620 TVP65620:TVT65620 TLT65620:TLX65620 TBX65620:TCB65620 SSB65620:SSF65620 SIF65620:SIJ65620 RYJ65620:RYN65620 RON65620:ROR65620 RER65620:REV65620 QUV65620:QUZ65620 QKZ65620:QLD65620 QBD65620:QBH65620 PRH65620:PRL65620 PHL65620:PHP65620 OXP65620:OXT65620 ONT65620:ONX65620 ODX65620:OEB65620 NUB65620:NUF65620 NKF65620:NKJ65620 NAJ65620:NAN65620 MQN65620:MQR65620 MGR65620:MGV65620 LWV65620:LWZ65620 LMZ65620:LND65620 LDD65620:LDH65620 KTH65620:KTL65620 KJL65620:KJP65620 JZP65620:JZT65620 JPT65620:JPX65620 JFX65620:JGB65620 IWB65620:IWF65620 IMF65620:IMJ65620 ICJ65620:ICN65620 HSN65620:HSR65620 HIR65620:HIV65620 GYV65620:GYZ65620 GOZ65620:GPD65620 GFD65620:GFH65620 FVH65620:FVL65620 FLL65620:FLP65620 FBP65620:FBT65620 ERT65620:ERX65620 EHX65620:EIB65620 DYB65620:DYF65620 DOF65620:DOJ65620 DEJ65620:DEN65620 CUN65620:CUR65620 CKR65620:CKV65620 CAV65620:CAZ65620 BQZ65620:BRD65620 BHD65620:BHH65620 AXH65620:AXL65620 ANL65620:ANP65620 ADP65620:ADT65620 TT65620:TX65620 JX65620:KB65620 AG65620:AK65620 WWJ83:WWN83 WMN83:WMR83 WCR83:WCV83 VSV83:VSZ83 VIZ83:VJD83 UZD83:UZH83 UPH83:UPL83 UFL83:UFP83 TVP83:TVT83 TLT83:TLX83 TBX83:TCB83 SSB83:SSF83 SIF83:SIJ83 RYJ83:RYN83 RON83:ROR83 RER83:REV83 QUV83:QUZ83 QKZ83:QLD83 QBD83:QBH83 PRH83:PRL83 PHL83:PHP83 OXP83:OXT83 ONT83:ONX83 ODX83:OEB83 NUB83:NUF83 NKF83:NKJ83 NAJ83:NAN83 MQN83:MQR83 MGR83:MGV83 LWV83:LWZ83 LMZ83:LND83 LDD83:LDH83 KTH83:KTL83 KJL83:KJP83 JZP83:JZT83 JPT83:JPX83 JFX83:JGB83 IWB83:IWF83 IMF83:IMJ83 ICJ83:ICN83 HSN83:HSR83 HIR83:HIV83 GYV83:GYZ83 GOZ83:GPD83 GFD83:GFH83 FVH83:FVL83 FLL83:FLP83 FBP83:FBT83 ERT83:ERX83 EHX83:EIB83 DYB83:DYF83 DOF83:DOJ83 DEJ83:DEN83 CUN83:CUR83 CKR83:CKV83 CAV83:CAZ83 BQZ83:BRD83 BHD83:BHH83 AXH83:AXL83 ANL83:ANP83 ADP83:ADT83 TT83:TX83" xr:uid="{D15B9B93-F4B8-41F6-BB77-A3BB4C8FE1E7}">
      <formula1>112233445566</formula1>
    </dataValidation>
    <dataValidation operator="equal" allowBlank="1" showInputMessage="1" errorTitle="Anexos con Excel" error="Este campo esta bloqueado por el SRI" sqref="AG68:AK68" xr:uid="{AD12746B-F817-455D-AD2C-7E28F483799F}"/>
    <dataValidation type="list" allowBlank="1" showInputMessage="1" showErrorMessage="1" sqref="T4:U4" xr:uid="{1758FF15-4A27-4148-92DE-85CEE8F0C298}">
      <formula1>"1,2,3,4,5,6,7,8,9,10,11,12,I-Semestre,II-Semestre"</formula1>
    </dataValidation>
  </dataValidations>
  <printOptions horizontalCentered="1"/>
  <pageMargins left="0.39370078740157483" right="0" top="0.39370078740157483" bottom="0" header="0" footer="0"/>
  <pageSetup paperSize="9" scale="48" fitToHeight="2" orientation="portrait"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17</vt:i4>
      </vt:variant>
      <vt:variant>
        <vt:lpstr>Rangos con nombre</vt:lpstr>
      </vt:variant>
      <vt:variant>
        <vt:i4>37</vt:i4>
      </vt:variant>
    </vt:vector>
  </HeadingPairs>
  <TitlesOfParts>
    <vt:vector size="54" baseType="lpstr">
      <vt:lpstr>Diario</vt:lpstr>
      <vt:lpstr>Tesoreria</vt:lpstr>
      <vt:lpstr>Detalles</vt:lpstr>
      <vt:lpstr>Articulos</vt:lpstr>
      <vt:lpstr>Contribuyentes</vt:lpstr>
      <vt:lpstr>Parametros</vt:lpstr>
      <vt:lpstr>LIQ_IMPUESTOS</vt:lpstr>
      <vt:lpstr>103</vt:lpstr>
      <vt:lpstr>104</vt:lpstr>
      <vt:lpstr>COMPRAS</vt:lpstr>
      <vt:lpstr>VENTAS</vt:lpstr>
      <vt:lpstr>REEMBOLSOS</vt:lpstr>
      <vt:lpstr>EXPORTACIONES</vt:lpstr>
      <vt:lpstr>ANULADOS</vt:lpstr>
      <vt:lpstr>GUIAS</vt:lpstr>
      <vt:lpstr>TALON</vt:lpstr>
      <vt:lpstr>GASTOSP</vt:lpstr>
      <vt:lpstr>'103'!Área_de_impresión</vt:lpstr>
      <vt:lpstr>'104'!Área_de_impresión</vt:lpstr>
      <vt:lpstr>asiCOM</vt:lpstr>
      <vt:lpstr>cfgEmpresa</vt:lpstr>
      <vt:lpstr>ComprobantesCOM</vt:lpstr>
      <vt:lpstr>ComprobantesEXP</vt:lpstr>
      <vt:lpstr>ComprobantesVEN</vt:lpstr>
      <vt:lpstr>Distritos</vt:lpstr>
      <vt:lpstr>gruContableGAS</vt:lpstr>
      <vt:lpstr>gruContableING</vt:lpstr>
      <vt:lpstr>ingExterior</vt:lpstr>
      <vt:lpstr>IVAs</vt:lpstr>
      <vt:lpstr>LIQ_PER</vt:lpstr>
      <vt:lpstr>ListaActividades</vt:lpstr>
      <vt:lpstr>meses_103</vt:lpstr>
      <vt:lpstr>meses_104</vt:lpstr>
      <vt:lpstr>NumDocs</vt:lpstr>
      <vt:lpstr>pagos</vt:lpstr>
      <vt:lpstr>paises</vt:lpstr>
      <vt:lpstr>paises17a</vt:lpstr>
      <vt:lpstr>paises17b</vt:lpstr>
      <vt:lpstr>paisesEXP</vt:lpstr>
      <vt:lpstr>Regimen</vt:lpstr>
      <vt:lpstr>Regimenes</vt:lpstr>
      <vt:lpstr>Retenciones</vt:lpstr>
      <vt:lpstr>sustentos</vt:lpstr>
      <vt:lpstr>tarifasIVA</vt:lpstr>
      <vt:lpstr>tbIBPs</vt:lpstr>
      <vt:lpstr>tbIBPs2</vt:lpstr>
      <vt:lpstr>tbICEs</vt:lpstr>
      <vt:lpstr>tbICEs2</vt:lpstr>
      <vt:lpstr>tbl_Empre</vt:lpstr>
      <vt:lpstr>tbl_NegPop</vt:lpstr>
      <vt:lpstr>TipoPagos</vt:lpstr>
      <vt:lpstr>tiposexp</vt:lpstr>
      <vt:lpstr>XLSperiodo</vt:lpstr>
      <vt:lpstr>XLSversion</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LOURDES</dc:creator>
  <cp:lastModifiedBy>Javier Veliz</cp:lastModifiedBy>
  <cp:lastPrinted>2022-09-01T05:36:21Z</cp:lastPrinted>
  <dcterms:created xsi:type="dcterms:W3CDTF">2017-05-19T19:55:43Z</dcterms:created>
  <dcterms:modified xsi:type="dcterms:W3CDTF">2025-01-28T02:40:53Z</dcterms:modified>
</cp:coreProperties>
</file>